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1"/>
  <workbookPr/>
  <mc:AlternateContent xmlns:mc="http://schemas.openxmlformats.org/markup-compatibility/2006">
    <mc:Choice Requires="x15">
      <x15ac:absPath xmlns:x15ac="http://schemas.microsoft.com/office/spreadsheetml/2010/11/ac" url="/Volumes/Raw Video 2/CNC Mill /Documents/"/>
    </mc:Choice>
  </mc:AlternateContent>
  <xr:revisionPtr revIDLastSave="0" documentId="8_{2040E30A-115B-694D-A5AB-EA180B2A364B}" xr6:coauthVersionLast="47" xr6:coauthVersionMax="47" xr10:uidLastSave="{00000000-0000-0000-0000-000000000000}"/>
  <bookViews>
    <workbookView xWindow="68800" yWindow="3420" windowWidth="51200" windowHeight="28300" activeTab="1" xr2:uid="{00000000-000D-0000-FFFF-FFFF00000000}"/>
  </bookViews>
  <sheets>
    <sheet name="Summary Product List" sheetId="7" r:id="rId1"/>
    <sheet name="Cost Projections" sheetId="1" r:id="rId2"/>
    <sheet name="Clearpath Servos" sheetId="2" r:id="rId3"/>
    <sheet name="Notes" sheetId="3" r:id="rId4"/>
    <sheet name="Build Performance Metrics" sheetId="4" r:id="rId5"/>
    <sheet name="Servo Motor Sizing" sheetId="5" r:id="rId6"/>
    <sheet name="Ballscrews  nuts" sheetId="6" r:id="rId7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3" i="1" l="1"/>
  <c r="D27" i="1"/>
  <c r="D9" i="1"/>
  <c r="D10" i="1"/>
  <c r="D16" i="1"/>
  <c r="D17" i="1"/>
  <c r="D41" i="1"/>
  <c r="C29" i="5"/>
  <c r="C54" i="5"/>
  <c r="C74" i="5"/>
  <c r="C42" i="5"/>
  <c r="C43" i="5"/>
  <c r="C44" i="5"/>
  <c r="C46" i="5"/>
  <c r="C48" i="5"/>
  <c r="C75" i="5"/>
  <c r="C76" i="5"/>
  <c r="C77" i="5"/>
  <c r="C78" i="5"/>
  <c r="C79" i="5"/>
  <c r="C62" i="5"/>
  <c r="C70" i="5"/>
  <c r="C60" i="5"/>
  <c r="C68" i="5"/>
  <c r="C12" i="5"/>
  <c r="C52" i="5"/>
  <c r="C56" i="5"/>
  <c r="C66" i="5"/>
  <c r="C33" i="5"/>
  <c r="C34" i="5"/>
  <c r="C35" i="5"/>
  <c r="C36" i="5"/>
  <c r="C37" i="5"/>
  <c r="C38" i="5"/>
  <c r="D8" i="4"/>
  <c r="D7" i="4"/>
  <c r="D6" i="4"/>
  <c r="D5" i="4"/>
  <c r="D4" i="4"/>
  <c r="C7" i="2"/>
</calcChain>
</file>

<file path=xl/sharedStrings.xml><?xml version="1.0" encoding="utf-8"?>
<sst xmlns="http://schemas.openxmlformats.org/spreadsheetml/2006/main" count="351" uniqueCount="209">
  <si>
    <t>Total Cost</t>
  </si>
  <si>
    <t>Piece Cost</t>
  </si>
  <si>
    <t>Piece Count</t>
  </si>
  <si>
    <t>Milling Machine PM728V-T</t>
  </si>
  <si>
    <t>Centroid Acorn Controller</t>
  </si>
  <si>
    <t>Clearpath Servo Motors</t>
  </si>
  <si>
    <t>CPM-SDSK-2321S-ELS</t>
  </si>
  <si>
    <t>CPM-SDSK-3421P-ELS</t>
  </si>
  <si>
    <t>Clearpath power supplies</t>
  </si>
  <si>
    <t>Power Distribution Hub</t>
  </si>
  <si>
    <t>Hub Power cable</t>
  </si>
  <si>
    <t>Control cables</t>
  </si>
  <si>
    <t>NUC 10 PC (BXNUC10I5FNK1)</t>
  </si>
  <si>
    <t>ASUS 21" Touch Screen</t>
  </si>
  <si>
    <t>e-stop</t>
  </si>
  <si>
    <t>Hibox Polycarbonate 20.87Hx16.93Wx7.87D"</t>
  </si>
  <si>
    <t>Circuit breakers</t>
  </si>
  <si>
    <t>Aviation plugs</t>
  </si>
  <si>
    <t>Ethernet bulkhead coupler</t>
  </si>
  <si>
    <t>Strain relief cord grip gland</t>
  </si>
  <si>
    <t>Total</t>
  </si>
  <si>
    <t xml:space="preserve"> </t>
  </si>
  <si>
    <t>Function</t>
  </si>
  <si>
    <t>Type</t>
  </si>
  <si>
    <t>Cost</t>
  </si>
  <si>
    <t>Notes</t>
  </si>
  <si>
    <t>X-axis</t>
  </si>
  <si>
    <t>Y-Axis</t>
  </si>
  <si>
    <t>Z-axis</t>
  </si>
  <si>
    <t>Weight of head needs to be determined</t>
  </si>
  <si>
    <t>SDSK model has 2-3 times the power of similar size stepper systems 
SDHP has 8-15 times the power of similar size steppers.</t>
  </si>
  <si>
    <t xml:space="preserve">NEMA 23 = 2.3" faceplate </t>
  </si>
  <si>
    <t xml:space="preserve">NEMA 34 = 3.4" faceplate </t>
  </si>
  <si>
    <t xml:space="preserve">More power for smaller body lengths </t>
  </si>
  <si>
    <t>https://www.teknic.com/clearpath-part-number-key/</t>
  </si>
  <si>
    <t>https://www.teknic.com/images/slider_cpm-341x-graph.png</t>
  </si>
  <si>
    <t>Winding Type</t>
  </si>
  <si>
    <t>S
D
P</t>
  </si>
  <si>
    <t>Series-Wye (higher torque, lower speed)
Parallel-Delta (lower torque, higher speed)
Parallel-Wye (in between S and D characteristics)</t>
  </si>
  <si>
    <t>Enhanced Options</t>
  </si>
  <si>
    <t>R
E</t>
  </si>
  <si>
    <r>
      <rPr>
        <sz val="11"/>
        <color rgb="FF595959"/>
        <rFont val="Arial"/>
        <family val="2"/>
      </rPr>
      <t xml:space="preserve">Positioning Resolution = 800 counts per revolution
Positioning Resolution = 6,400 counts per revolution
</t>
    </r>
    <r>
      <rPr>
        <sz val="11"/>
        <color theme="7"/>
        <rFont val="Arial"/>
        <family val="2"/>
      </rPr>
      <t>Note: All NEMA 23/34 motors have an encoder resolution of 
12,800 counts per revolution regardless of this option selection.</t>
    </r>
  </si>
  <si>
    <t>Links</t>
  </si>
  <si>
    <t>Precision Matthews 728V-T</t>
  </si>
  <si>
    <t>https://www.precisionmatthews.com/shop/pm-728vt-ultra-precision-mill/</t>
  </si>
  <si>
    <t>Hand scraped ways and gibs</t>
  </si>
  <si>
    <t>One shot oiler</t>
  </si>
  <si>
    <t>Angular contact bearings  3 - rated for &gt; 10000 RPM</t>
  </si>
  <si>
    <t>DC Motor runs at 110V @ 4000 RPM</t>
  </si>
  <si>
    <t>https://www.centroidcnc.com/centroid_diy/acorn_cnc_controller.html</t>
  </si>
  <si>
    <t>Teknik Clearpath Servo Motors</t>
  </si>
  <si>
    <t>https://www.teknic.com/products/clearpath-brushless-dc-servo-motors/</t>
  </si>
  <si>
    <t>Closed loop brushless servo motors - SD type</t>
  </si>
  <si>
    <t>D = High Speed / High Torque</t>
  </si>
  <si>
    <t>S = High Torque / Less Speed</t>
  </si>
  <si>
    <t>P = Good Speed / Good Speed</t>
  </si>
  <si>
    <t xml:space="preserve">For 727M  chose 3421S-RLN for x &amp; y - oversized above recommendation </t>
  </si>
  <si>
    <t xml:space="preserve">3432S-RLN - oversized above recommendation </t>
  </si>
  <si>
    <t xml:space="preserve">Clearpath  power supplies </t>
  </si>
  <si>
    <t>Clearpath power cables</t>
  </si>
  <si>
    <t>Clearpath control cables</t>
  </si>
  <si>
    <t>Flexible shaft couplers</t>
  </si>
  <si>
    <t>Control Box</t>
  </si>
  <si>
    <t>https://www.factorymation.com/wallmount_non-metallic/DSE_Plastic_Wall_Mount_Enclosures_SB</t>
  </si>
  <si>
    <t>19x15x7 EN-PCG-4050-B</t>
  </si>
  <si>
    <t>E-stop</t>
  </si>
  <si>
    <t>Need 2 normally closed connections</t>
  </si>
  <si>
    <t>Cooling fan</t>
  </si>
  <si>
    <t>110v  80mm</t>
  </si>
  <si>
    <t>Fan covers</t>
  </si>
  <si>
    <t>Electric terminal block/strip</t>
  </si>
  <si>
    <t>Din rail starter blocks with terminal blocks</t>
  </si>
  <si>
    <t>1/4 or 3/8</t>
  </si>
  <si>
    <t>Ball Screws</t>
  </si>
  <si>
    <t>http://www.terry-machinery.com/</t>
  </si>
  <si>
    <t>Precision ground ball vs formed/rolled</t>
  </si>
  <si>
    <t>Double nuts</t>
  </si>
  <si>
    <t>C5</t>
  </si>
  <si>
    <t>THK Brand?</t>
  </si>
  <si>
    <t>Approx $700 total</t>
  </si>
  <si>
    <t>Bearing Blocks</t>
  </si>
  <si>
    <t>Angular contact bearings</t>
  </si>
  <si>
    <t>Tapered roller bearings</t>
  </si>
  <si>
    <t>Speeds an Feeds</t>
  </si>
  <si>
    <t>https://www.cnccookbook.com/ultimate-benchtop-cnc-mini-mill-part-4-motion-performance/</t>
  </si>
  <si>
    <t>Rapids on order of 120-150 IPS (?)</t>
  </si>
  <si>
    <t>PM-728-VT CNC Mill Motion Performance Requirements</t>
  </si>
  <si>
    <t>Machine</t>
  </si>
  <si>
    <t>Scenarios</t>
  </si>
  <si>
    <t>HP Limit</t>
  </si>
  <si>
    <t>RPM Limit</t>
  </si>
  <si>
    <t>Min RPM</t>
  </si>
  <si>
    <t>Max Feed</t>
  </si>
  <si>
    <t>Max Torque</t>
  </si>
  <si>
    <t>Torque Peak</t>
  </si>
  <si>
    <t>rpm</t>
  </si>
  <si>
    <t>Material</t>
  </si>
  <si>
    <t>Tool</t>
  </si>
  <si>
    <t>Tool Diameter</t>
  </si>
  <si>
    <t>Flutes</t>
  </si>
  <si>
    <t>Cut Depth</t>
  </si>
  <si>
    <t>Cut Width</t>
  </si>
  <si>
    <t>RPM</t>
  </si>
  <si>
    <t>Feedrate</t>
  </si>
  <si>
    <t>HP</t>
  </si>
  <si>
    <t>Torque</t>
  </si>
  <si>
    <t>Aluminum 6061</t>
  </si>
  <si>
    <t>HSS Endmill</t>
  </si>
  <si>
    <t>Carbide Endmill</t>
  </si>
  <si>
    <t>HSS Twist Drill</t>
  </si>
  <si>
    <t>Facemill</t>
  </si>
  <si>
    <t>Plastics - Hard</t>
  </si>
  <si>
    <t>Brass</t>
  </si>
  <si>
    <t>Copper</t>
  </si>
  <si>
    <t>Steel "1020"</t>
  </si>
  <si>
    <t>Steel "1045"</t>
  </si>
  <si>
    <t>Plastics - Soft</t>
  </si>
  <si>
    <t>Step and Servo Motor Sizing Worksheet</t>
  </si>
  <si>
    <t>www.cnccookbook.com</t>
  </si>
  <si>
    <t>Copyright 2014 by CNCCookbook, Inc.</t>
  </si>
  <si>
    <t>Axis:</t>
  </si>
  <si>
    <t>Table Weight</t>
  </si>
  <si>
    <t>lbs</t>
  </si>
  <si>
    <t>Part &amp; Fixture Weight</t>
  </si>
  <si>
    <t>Friction Coefficient of Ways</t>
  </si>
  <si>
    <t>For linear slides use 0.01-0.004.  For box and dovetail ways use 0.2 per HiWin: http://www.hiwin.com/pdf/lg/QE/QE-Linear_20Guideway-(E).pdf</t>
  </si>
  <si>
    <t>For box and dovetail ways with Turcite, use 0.1 per http://www.milwaukeemachinetool.com/Slide_Facts.htm</t>
  </si>
  <si>
    <t>Max. Thrust Force</t>
  </si>
  <si>
    <t>This is the maximum cutting force</t>
  </si>
  <si>
    <t>Max Linear Speed</t>
  </si>
  <si>
    <t>IPM</t>
  </si>
  <si>
    <t>The rapids rate</t>
  </si>
  <si>
    <t>Max Cutting Speed</t>
  </si>
  <si>
    <t>Lead Screw:</t>
  </si>
  <si>
    <t>Ballscrew Lead</t>
  </si>
  <si>
    <t>in/rev</t>
  </si>
  <si>
    <t>Axis inches moved per motor revolution</t>
  </si>
  <si>
    <t>Drive Ratio</t>
  </si>
  <si>
    <t>Timing pulleys or the like.  Use 1 if direct driving ballscrew.</t>
  </si>
  <si>
    <t>Diameter</t>
  </si>
  <si>
    <t>in</t>
  </si>
  <si>
    <t>Length</t>
  </si>
  <si>
    <t>Efficiency</t>
  </si>
  <si>
    <t>85-90% is typical for ballscrews</t>
  </si>
  <si>
    <t>Other:</t>
  </si>
  <si>
    <t>Max Acceleration</t>
  </si>
  <si>
    <t>in/sec^3</t>
  </si>
  <si>
    <t>Resolution</t>
  </si>
  <si>
    <t>steps/rev</t>
  </si>
  <si>
    <t>For servos, use encoder resolution, for steppers use steps/rev</t>
  </si>
  <si>
    <t>Target Motor Torque</t>
  </si>
  <si>
    <t>oz-in</t>
  </si>
  <si>
    <t>lb-ft</t>
  </si>
  <si>
    <t>Acceleration:</t>
  </si>
  <si>
    <t>Travel Distance</t>
  </si>
  <si>
    <t>Speed</t>
  </si>
  <si>
    <t>inches/minute</t>
  </si>
  <si>
    <t>Positioning Period</t>
  </si>
  <si>
    <t>seconds</t>
  </si>
  <si>
    <t>Acceleration Period</t>
  </si>
  <si>
    <t>seconds (25% of the positioning period)</t>
  </si>
  <si>
    <t>Acceleration</t>
  </si>
  <si>
    <t>in/sec^2</t>
  </si>
  <si>
    <t>1G</t>
  </si>
  <si>
    <t>G's</t>
  </si>
  <si>
    <t>Inertia Calculations:</t>
  </si>
  <si>
    <t>Inertia of Axis:</t>
  </si>
  <si>
    <t>Numerator</t>
  </si>
  <si>
    <t>Divisor</t>
  </si>
  <si>
    <t>lb-ft-s^2</t>
  </si>
  <si>
    <t>Inertia of Lead Screw:</t>
  </si>
  <si>
    <t>Load Calculations:</t>
  </si>
  <si>
    <t>Cutting Torque:</t>
  </si>
  <si>
    <t>Axis Friction Torque:</t>
  </si>
  <si>
    <t>Axis Torque Requirement:</t>
  </si>
  <si>
    <t>Speed Calculations:</t>
  </si>
  <si>
    <t>Rapids Screw RPM:</t>
  </si>
  <si>
    <t>Cutting Screw RPM:</t>
  </si>
  <si>
    <t>Reflected Torque:</t>
  </si>
  <si>
    <t>Rapids Motor RPM:</t>
  </si>
  <si>
    <t>Cutting Motor RPM:</t>
  </si>
  <si>
    <t>Denominator</t>
  </si>
  <si>
    <t>rad/sec^2</t>
  </si>
  <si>
    <t xml:space="preserve">C5 Ball screws </t>
  </si>
  <si>
    <t>0.0005" per 12"</t>
  </si>
  <si>
    <t>THK Specifications</t>
  </si>
  <si>
    <t>http://www.cbmind.com/linear/thk/pdf/Ballscrew%20Product%20Specifications.pdf</t>
  </si>
  <si>
    <t xml:space="preserve">Generic Power Supply 24VDC </t>
  </si>
  <si>
    <t>24VDC</t>
  </si>
  <si>
    <t>350/500W 75VDC</t>
  </si>
  <si>
    <t>Control Box Enclosure</t>
  </si>
  <si>
    <t>Precision Matthews Ballscrew Conversion Kit</t>
  </si>
  <si>
    <t>Acorn Mill Pro Software License</t>
  </si>
  <si>
    <t>Precision Matthews Speed Controller</t>
  </si>
  <si>
    <t>Teknic Power Cable 10ft</t>
  </si>
  <si>
    <t>Rocker switches 250V</t>
  </si>
  <si>
    <t>Contactor Coil 24V</t>
  </si>
  <si>
    <t>Cable Through Clamps</t>
  </si>
  <si>
    <t>C86ACCP Acorn Connector Board</t>
  </si>
  <si>
    <t xml:space="preserve">Connector Cable 2 Conductorn - 40ft </t>
  </si>
  <si>
    <t>Ferrule Crimping Kit</t>
  </si>
  <si>
    <t>DIN Rail Connector blocks</t>
  </si>
  <si>
    <t>Hookup Wire 18AWG 6 Color 158ft</t>
  </si>
  <si>
    <t xml:space="preserve">Connector Cable 4 Conductor 20AWG 33ft </t>
  </si>
  <si>
    <t>Wire Duct</t>
  </si>
  <si>
    <t>Connector crim pins and shells</t>
  </si>
  <si>
    <t xml:space="preserve">Component </t>
  </si>
  <si>
    <t xml:space="preserve">Case Fans 24VDC </t>
  </si>
  <si>
    <t>Limit Switches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</si>
</sst>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&quot;$&quot;#,##0"/>
    <numFmt numFmtId="165" formatCode="_(* #,##0_);_(* \(#,##0\);_(* &quot;-&quot;??_);_(@_)"/>
    <numFmt numFmtId="166" formatCode="[$$-409]#,##0.00"/>
    <numFmt numFmtId="167" formatCode="[$$-409]#,##0"/>
  </numFmts>
  <fonts count="25">
    <font>
      <sz val="10"/>
      <color rgb="FF000000"/>
      <name val="Calibri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Arial"/>
      <family val="2"/>
    </font>
    <font>
      <sz val="10"/>
      <color theme="1"/>
      <name val="&quot;Source Sans Pro&quot;"/>
    </font>
    <font>
      <u/>
      <sz val="10"/>
      <color rgb="FF0000FF"/>
      <name val="Calibri"/>
      <family val="2"/>
    </font>
    <font>
      <sz val="11"/>
      <color rgb="FF595959"/>
      <name val="&quot;Source Sans Pro&quot;"/>
    </font>
    <font>
      <sz val="11"/>
      <color rgb="FF595959"/>
      <name val="Arial"/>
      <family val="2"/>
    </font>
    <font>
      <b/>
      <u/>
      <sz val="10"/>
      <color theme="1"/>
      <name val="Calibri"/>
      <family val="2"/>
      <scheme val="minor"/>
    </font>
    <font>
      <sz val="8"/>
      <color theme="1"/>
      <name val="Arial"/>
      <family val="2"/>
    </font>
    <font>
      <b/>
      <sz val="12"/>
      <color theme="1"/>
      <name val="Calibri"/>
      <family val="2"/>
    </font>
    <font>
      <sz val="8"/>
      <color theme="1"/>
      <name val="Calibri"/>
      <family val="2"/>
    </font>
    <font>
      <b/>
      <sz val="8"/>
      <color theme="1"/>
      <name val="Calibri"/>
      <family val="2"/>
    </font>
    <font>
      <b/>
      <sz val="14"/>
      <color theme="1"/>
      <name val="Calibri"/>
      <family val="2"/>
    </font>
    <font>
      <u/>
      <sz val="11"/>
      <color theme="10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theme="4"/>
      <name val="Calibri"/>
      <family val="2"/>
    </font>
    <font>
      <b/>
      <sz val="16"/>
      <color theme="1"/>
      <name val="Calibri"/>
      <family val="2"/>
    </font>
    <font>
      <sz val="11"/>
      <color theme="7"/>
      <name val="Arial"/>
      <family val="2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rgb="FF000000"/>
      <name val="Calibri"/>
      <family val="2"/>
      <scheme val="minor"/>
    </font>
    <font>
      <sz val="14"/>
      <color rgb="FF000000"/>
      <name val="Helvetica"/>
      <family val="2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rgb="FF505050"/>
      </top>
      <bottom style="double">
        <color rgb="FF505050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2" fillId="0" borderId="0" xfId="0" applyFont="1"/>
    <xf numFmtId="164" fontId="2" fillId="0" borderId="0" xfId="0" applyNumberFormat="1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 applyAlignment="1">
      <alignment horizontal="center"/>
    </xf>
    <xf numFmtId="0" fontId="12" fillId="0" borderId="0" xfId="0" applyFont="1"/>
    <xf numFmtId="0" fontId="11" fillId="0" borderId="0" xfId="0" applyFont="1" applyAlignment="1">
      <alignment horizontal="right"/>
    </xf>
    <xf numFmtId="0" fontId="13" fillId="0" borderId="0" xfId="0" applyFont="1"/>
    <xf numFmtId="0" fontId="16" fillId="0" borderId="0" xfId="0" applyFont="1"/>
    <xf numFmtId="0" fontId="17" fillId="0" borderId="0" xfId="0" applyFont="1"/>
    <xf numFmtId="165" fontId="17" fillId="0" borderId="0" xfId="0" applyNumberFormat="1" applyFont="1"/>
    <xf numFmtId="9" fontId="17" fillId="0" borderId="0" xfId="0" applyNumberFormat="1" applyFont="1"/>
    <xf numFmtId="43" fontId="16" fillId="0" borderId="0" xfId="0" applyNumberFormat="1" applyFont="1"/>
    <xf numFmtId="0" fontId="18" fillId="0" borderId="0" xfId="0" applyFont="1"/>
    <xf numFmtId="0" fontId="20" fillId="0" borderId="0" xfId="0" applyFont="1"/>
    <xf numFmtId="0" fontId="21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22" fillId="0" borderId="0" xfId="0" applyFont="1"/>
    <xf numFmtId="0" fontId="21" fillId="0" borderId="0" xfId="0" applyFont="1"/>
    <xf numFmtId="164" fontId="21" fillId="0" borderId="0" xfId="0" applyNumberFormat="1" applyFont="1"/>
    <xf numFmtId="167" fontId="22" fillId="0" borderId="0" xfId="0" applyNumberFormat="1" applyFont="1"/>
    <xf numFmtId="0" fontId="21" fillId="0" borderId="0" xfId="0" applyFont="1" applyAlignment="1">
      <alignment horizontal="right"/>
    </xf>
    <xf numFmtId="167" fontId="22" fillId="0" borderId="0" xfId="0" applyNumberFormat="1" applyFont="1" applyAlignment="1">
      <alignment horizontal="right"/>
    </xf>
    <xf numFmtId="0" fontId="23" fillId="0" borderId="0" xfId="0" applyFont="1" applyAlignment="1">
      <alignment horizontal="right"/>
    </xf>
    <xf numFmtId="0" fontId="23" fillId="0" borderId="0" xfId="0" applyFont="1"/>
    <xf numFmtId="0" fontId="23" fillId="0" borderId="0" xfId="0" applyFont="1" applyAlignment="1">
      <alignment horizontal="left"/>
    </xf>
    <xf numFmtId="0" fontId="24" fillId="0" borderId="0" xfId="0" applyFont="1"/>
    <xf numFmtId="167" fontId="24" fillId="0" borderId="1" xfId="0" applyNumberFormat="1" applyFont="1" applyBorder="1"/>
    <xf numFmtId="166" fontId="22" fillId="0" borderId="0" xfId="0" applyNumberFormat="1" applyFont="1"/>
    <xf numFmtId="167" fontId="21" fillId="0" borderId="0" xfId="0" applyNumberFormat="1" applyFont="1"/>
    <xf numFmtId="0" fontId="13" fillId="0" borderId="0" xfId="0" applyFont="1" applyAlignment="1">
      <alignment horizontal="center"/>
    </xf>
    <xf numFmtId="0" fontId="0" fillId="0" borderId="0" xfId="0"/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17/10/relationships/person" Target="persons/perso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teknic.com/images/slider_cpm-341x-graph.png" TargetMode="External"/><Relationship Id="rId1" Type="http://schemas.openxmlformats.org/officeDocument/2006/relationships/hyperlink" Target="https://www.teknic.com/clearpath-part-number-key/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eknic.com/products/clearpath-brushless-dc-servo-motors/" TargetMode="External"/><Relationship Id="rId2" Type="http://schemas.openxmlformats.org/officeDocument/2006/relationships/hyperlink" Target="https://www.centroidcnc.com/centroid_diy/acorn_cnc_controller.html" TargetMode="External"/><Relationship Id="rId1" Type="http://schemas.openxmlformats.org/officeDocument/2006/relationships/hyperlink" Target="https://www.precisionmatthews.com/shop/pm-728vt-ultra-precision-mill/" TargetMode="External"/><Relationship Id="rId6" Type="http://schemas.openxmlformats.org/officeDocument/2006/relationships/hyperlink" Target="https://www.cnccookbook.com/ultimate-benchtop-cnc-mini-mill-part-4-motion-performance/" TargetMode="External"/><Relationship Id="rId5" Type="http://schemas.openxmlformats.org/officeDocument/2006/relationships/hyperlink" Target="http://www.terry-machinery.com/" TargetMode="External"/><Relationship Id="rId4" Type="http://schemas.openxmlformats.org/officeDocument/2006/relationships/hyperlink" Target="https://www.factorymation.com/wallmount_non-metallic/DSE_Plastic_Wall_Mount_Enclosures_SB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://www.cnccookbook.com/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://www.cbmind.com/linear/thk/pdf/Ballscrew%20Product%20Specification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FA200B-5237-F145-A85A-2F71CE842C77}">
  <sheetPr>
    <outlinePr summaryBelow="0" summaryRight="0"/>
  </sheetPr>
  <dimension ref="A1:A21"/>
  <sheetViews>
    <sheetView workbookViewId="0">
      <selection activeCell="A30" sqref="A30"/>
    </sheetView>
  </sheetViews>
  <sheetFormatPr baseColWidth="10" defaultColWidth="14.3984375" defaultRowHeight="15.75" customHeight="1"/>
  <cols>
    <col min="1" max="1" width="74.796875" customWidth="1"/>
  </cols>
  <sheetData>
    <row r="1" spans="1:1" ht="19">
      <c r="A1" s="27" t="s">
        <v>206</v>
      </c>
    </row>
    <row r="2" spans="1:1" ht="15.75" customHeight="1">
      <c r="A2" s="30"/>
    </row>
    <row r="3" spans="1:1" ht="19">
      <c r="A3" s="31" t="s">
        <v>3</v>
      </c>
    </row>
    <row r="4" spans="1:1" ht="15.75" customHeight="1">
      <c r="A4" s="30" t="s">
        <v>191</v>
      </c>
    </row>
    <row r="5" spans="1:1" ht="15.75" customHeight="1">
      <c r="A5" s="30" t="s">
        <v>193</v>
      </c>
    </row>
    <row r="6" spans="1:1" ht="19">
      <c r="A6" s="31" t="s">
        <v>4</v>
      </c>
    </row>
    <row r="7" spans="1:1" ht="19">
      <c r="A7" s="31" t="s">
        <v>5</v>
      </c>
    </row>
    <row r="8" spans="1:1" ht="19">
      <c r="A8" s="34" t="s">
        <v>6</v>
      </c>
    </row>
    <row r="9" spans="1:1" ht="19">
      <c r="A9" s="34" t="s">
        <v>7</v>
      </c>
    </row>
    <row r="10" spans="1:1" ht="19">
      <c r="A10" s="31" t="s">
        <v>8</v>
      </c>
    </row>
    <row r="11" spans="1:1" ht="19">
      <c r="A11" s="34" t="s">
        <v>189</v>
      </c>
    </row>
    <row r="12" spans="1:1" ht="19">
      <c r="A12" s="34" t="s">
        <v>188</v>
      </c>
    </row>
    <row r="13" spans="1:1" ht="19">
      <c r="A13" s="31" t="s">
        <v>9</v>
      </c>
    </row>
    <row r="14" spans="1:1" ht="15.75" customHeight="1">
      <c r="A14" s="30" t="s">
        <v>187</v>
      </c>
    </row>
    <row r="15" spans="1:1" ht="19">
      <c r="A15" s="31" t="s">
        <v>12</v>
      </c>
    </row>
    <row r="16" spans="1:1" ht="19">
      <c r="A16" s="31" t="s">
        <v>13</v>
      </c>
    </row>
    <row r="17" spans="1:1" ht="19">
      <c r="A17" s="31" t="s">
        <v>208</v>
      </c>
    </row>
    <row r="18" spans="1:1" ht="19">
      <c r="A18" s="31" t="s">
        <v>190</v>
      </c>
    </row>
    <row r="19" spans="1:1" ht="18">
      <c r="A19" s="36" t="s">
        <v>15</v>
      </c>
    </row>
    <row r="20" spans="1:1" ht="19">
      <c r="A20" s="30"/>
    </row>
    <row r="21" spans="1:1" ht="14"/>
  </sheetData>
  <pageMargins left="0.7" right="0.7" top="0.75" bottom="0.75" header="0.3" footer="0.3"/>
  <pageSetup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D42"/>
  <sheetViews>
    <sheetView tabSelected="1" workbookViewId="0">
      <selection activeCell="G3" sqref="G3"/>
    </sheetView>
  </sheetViews>
  <sheetFormatPr baseColWidth="10" defaultColWidth="14.3984375" defaultRowHeight="15.75" customHeight="1"/>
  <cols>
    <col min="1" max="1" width="74.796875" customWidth="1"/>
  </cols>
  <sheetData>
    <row r="1" spans="1:4" ht="19">
      <c r="A1" s="27" t="s">
        <v>206</v>
      </c>
      <c r="B1" s="28" t="s">
        <v>1</v>
      </c>
      <c r="C1" s="28" t="s">
        <v>2</v>
      </c>
      <c r="D1" s="29" t="s">
        <v>0</v>
      </c>
    </row>
    <row r="2" spans="1:4" ht="15.75" customHeight="1">
      <c r="A2" s="30"/>
      <c r="B2" s="30"/>
      <c r="C2" s="30"/>
      <c r="D2" s="30"/>
    </row>
    <row r="3" spans="1:4" ht="19">
      <c r="A3" s="31" t="s">
        <v>3</v>
      </c>
      <c r="B3" s="30"/>
      <c r="C3" s="30"/>
      <c r="D3" s="32">
        <v>2900</v>
      </c>
    </row>
    <row r="4" spans="1:4" ht="15.75" customHeight="1">
      <c r="A4" s="30" t="s">
        <v>191</v>
      </c>
      <c r="B4" s="30"/>
      <c r="C4" s="30"/>
      <c r="D4" s="33">
        <v>979</v>
      </c>
    </row>
    <row r="5" spans="1:4" ht="15.75" customHeight="1">
      <c r="A5" s="30" t="s">
        <v>193</v>
      </c>
      <c r="B5" s="30"/>
      <c r="C5" s="30"/>
      <c r="D5" s="33">
        <v>50</v>
      </c>
    </row>
    <row r="6" spans="1:4" ht="19">
      <c r="A6" s="31" t="s">
        <v>4</v>
      </c>
      <c r="B6" s="30"/>
      <c r="C6" s="30"/>
      <c r="D6" s="32">
        <v>299</v>
      </c>
    </row>
    <row r="7" spans="1:4" ht="19">
      <c r="A7" s="31" t="s">
        <v>198</v>
      </c>
      <c r="B7" s="30"/>
      <c r="C7" s="30"/>
      <c r="D7" s="32">
        <v>48</v>
      </c>
    </row>
    <row r="8" spans="1:4" ht="19">
      <c r="A8" s="31" t="s">
        <v>5</v>
      </c>
      <c r="B8" s="30"/>
      <c r="C8" s="30"/>
      <c r="D8" s="32"/>
    </row>
    <row r="9" spans="1:4" ht="19">
      <c r="A9" s="34" t="s">
        <v>6</v>
      </c>
      <c r="B9" s="42">
        <v>361</v>
      </c>
      <c r="C9" s="31">
        <v>2</v>
      </c>
      <c r="D9" s="32">
        <f>B9*C9</f>
        <v>722</v>
      </c>
    </row>
    <row r="10" spans="1:4" ht="19">
      <c r="A10" s="34" t="s">
        <v>7</v>
      </c>
      <c r="B10" s="42">
        <v>419</v>
      </c>
      <c r="C10" s="31">
        <v>1</v>
      </c>
      <c r="D10" s="32">
        <f>B10*C10</f>
        <v>419</v>
      </c>
    </row>
    <row r="11" spans="1:4" ht="19">
      <c r="A11" s="31" t="s">
        <v>8</v>
      </c>
      <c r="B11" s="30"/>
      <c r="C11" s="30"/>
      <c r="D11" s="32"/>
    </row>
    <row r="12" spans="1:4" ht="19">
      <c r="A12" s="34" t="s">
        <v>189</v>
      </c>
      <c r="B12" s="30"/>
      <c r="C12" s="30"/>
      <c r="D12" s="32">
        <v>248</v>
      </c>
    </row>
    <row r="13" spans="1:4" ht="19">
      <c r="A13" s="34" t="s">
        <v>188</v>
      </c>
      <c r="B13" s="30"/>
      <c r="C13" s="30"/>
      <c r="D13" s="32">
        <v>39</v>
      </c>
    </row>
    <row r="14" spans="1:4" ht="19">
      <c r="A14" s="31" t="s">
        <v>9</v>
      </c>
      <c r="B14" s="30"/>
      <c r="C14" s="30"/>
      <c r="D14" s="32">
        <v>49</v>
      </c>
    </row>
    <row r="15" spans="1:4" ht="19">
      <c r="A15" s="31" t="s">
        <v>10</v>
      </c>
      <c r="B15" s="30"/>
      <c r="C15" s="30"/>
      <c r="D15" s="32">
        <v>14</v>
      </c>
    </row>
    <row r="16" spans="1:4" ht="19">
      <c r="A16" s="31" t="s">
        <v>194</v>
      </c>
      <c r="B16" s="32">
        <v>19</v>
      </c>
      <c r="C16" s="31">
        <v>4</v>
      </c>
      <c r="D16" s="32">
        <f>B16*C16</f>
        <v>76</v>
      </c>
    </row>
    <row r="17" spans="1:4" ht="19">
      <c r="A17" s="31" t="s">
        <v>11</v>
      </c>
      <c r="B17" s="32">
        <v>23</v>
      </c>
      <c r="C17" s="31">
        <v>3</v>
      </c>
      <c r="D17" s="32">
        <f>B17*C17</f>
        <v>69</v>
      </c>
    </row>
    <row r="18" spans="1:4" ht="15.75" customHeight="1">
      <c r="A18" s="30" t="s">
        <v>187</v>
      </c>
      <c r="B18" s="30"/>
      <c r="C18" s="30"/>
      <c r="D18" s="35">
        <v>15</v>
      </c>
    </row>
    <row r="19" spans="1:4" ht="19">
      <c r="A19" s="31" t="s">
        <v>12</v>
      </c>
      <c r="B19" s="30"/>
      <c r="C19" s="30"/>
      <c r="D19" s="32">
        <v>396</v>
      </c>
    </row>
    <row r="20" spans="1:4" ht="19">
      <c r="A20" s="31" t="s">
        <v>13</v>
      </c>
      <c r="B20" s="30"/>
      <c r="C20" s="30"/>
      <c r="D20" s="32">
        <v>199</v>
      </c>
    </row>
    <row r="21" spans="1:4" ht="19">
      <c r="A21" s="31" t="s">
        <v>192</v>
      </c>
      <c r="B21" s="30"/>
      <c r="C21" s="30"/>
      <c r="D21" s="32">
        <v>159</v>
      </c>
    </row>
    <row r="22" spans="1:4" ht="19">
      <c r="A22" s="31" t="s">
        <v>14</v>
      </c>
      <c r="B22" s="30"/>
      <c r="C22" s="30"/>
      <c r="D22" s="32">
        <v>13</v>
      </c>
    </row>
    <row r="23" spans="1:4" ht="19">
      <c r="A23" s="31" t="s">
        <v>208</v>
      </c>
      <c r="B23" s="41">
        <v>1.1000000000000001</v>
      </c>
      <c r="C23" s="30">
        <v>10</v>
      </c>
      <c r="D23" s="33">
        <f>B23*C23</f>
        <v>11</v>
      </c>
    </row>
    <row r="24" spans="1:4" ht="19">
      <c r="A24" s="31" t="s">
        <v>190</v>
      </c>
      <c r="B24" s="30"/>
      <c r="C24" s="30"/>
      <c r="D24" s="30"/>
    </row>
    <row r="25" spans="1:4" ht="19">
      <c r="A25" s="36" t="s">
        <v>15</v>
      </c>
      <c r="B25" s="30"/>
      <c r="C25" s="30"/>
      <c r="D25" s="32">
        <v>226</v>
      </c>
    </row>
    <row r="26" spans="1:4" ht="19">
      <c r="A26" s="37" t="s">
        <v>204</v>
      </c>
      <c r="B26" s="30"/>
      <c r="C26" s="30"/>
      <c r="D26" s="32">
        <v>7</v>
      </c>
    </row>
    <row r="27" spans="1:4" ht="19">
      <c r="A27" s="38" t="s">
        <v>207</v>
      </c>
      <c r="B27" s="41">
        <v>6.5</v>
      </c>
      <c r="C27" s="30">
        <v>2</v>
      </c>
      <c r="D27" s="32">
        <f>B27*C27</f>
        <v>13</v>
      </c>
    </row>
    <row r="28" spans="1:4" ht="19">
      <c r="A28" s="31" t="s">
        <v>201</v>
      </c>
      <c r="B28" s="41"/>
      <c r="C28" s="30"/>
      <c r="D28" s="32">
        <v>30</v>
      </c>
    </row>
    <row r="29" spans="1:4" ht="19">
      <c r="A29" s="31" t="s">
        <v>196</v>
      </c>
      <c r="B29" s="30"/>
      <c r="C29" s="30"/>
      <c r="D29" s="32">
        <v>14</v>
      </c>
    </row>
    <row r="30" spans="1:4" ht="19">
      <c r="A30" s="31" t="s">
        <v>16</v>
      </c>
      <c r="B30" s="30"/>
      <c r="C30" s="30"/>
      <c r="D30" s="33">
        <v>8</v>
      </c>
    </row>
    <row r="31" spans="1:4" ht="19">
      <c r="A31" s="31" t="s">
        <v>195</v>
      </c>
      <c r="B31" s="30"/>
      <c r="C31" s="30"/>
      <c r="D31" s="33">
        <v>8</v>
      </c>
    </row>
    <row r="32" spans="1:4" ht="19">
      <c r="A32" s="31" t="s">
        <v>17</v>
      </c>
      <c r="B32" s="30"/>
      <c r="C32" s="30"/>
      <c r="D32" s="33">
        <v>14</v>
      </c>
    </row>
    <row r="33" spans="1:4" ht="19">
      <c r="A33" s="31" t="s">
        <v>197</v>
      </c>
      <c r="B33" s="30"/>
      <c r="C33" s="30"/>
      <c r="D33" s="33">
        <v>9</v>
      </c>
    </row>
    <row r="34" spans="1:4" ht="19">
      <c r="A34" s="31" t="s">
        <v>18</v>
      </c>
      <c r="B34" s="30"/>
      <c r="C34" s="30"/>
      <c r="D34" s="33">
        <v>8</v>
      </c>
    </row>
    <row r="35" spans="1:4" ht="19">
      <c r="A35" s="31" t="s">
        <v>199</v>
      </c>
      <c r="B35" s="30"/>
      <c r="C35" s="30"/>
      <c r="D35" s="33">
        <v>11</v>
      </c>
    </row>
    <row r="36" spans="1:4" ht="19">
      <c r="A36" s="31" t="s">
        <v>200</v>
      </c>
      <c r="B36" s="30"/>
      <c r="C36" s="30"/>
      <c r="D36" s="33">
        <v>27</v>
      </c>
    </row>
    <row r="37" spans="1:4" ht="19">
      <c r="A37" s="30" t="s">
        <v>202</v>
      </c>
      <c r="B37" s="30"/>
      <c r="C37" s="30"/>
      <c r="D37" s="33">
        <v>23</v>
      </c>
    </row>
    <row r="38" spans="1:4" ht="19">
      <c r="A38" s="30" t="s">
        <v>203</v>
      </c>
      <c r="B38" s="30"/>
      <c r="C38" s="30"/>
      <c r="D38" s="33">
        <v>19</v>
      </c>
    </row>
    <row r="39" spans="1:4" ht="19">
      <c r="A39" s="30" t="s">
        <v>205</v>
      </c>
      <c r="B39" s="30"/>
      <c r="C39" s="30"/>
      <c r="D39" s="33">
        <v>35</v>
      </c>
    </row>
    <row r="40" spans="1:4" ht="19">
      <c r="A40" s="30"/>
      <c r="B40" s="30"/>
      <c r="C40" s="30"/>
      <c r="D40" s="33"/>
    </row>
    <row r="41" spans="1:4" ht="22" thickBot="1">
      <c r="A41" s="39" t="s">
        <v>20</v>
      </c>
      <c r="D41" s="40">
        <f>SUM(D3:D39)</f>
        <v>7157</v>
      </c>
    </row>
    <row r="42" spans="1:4" ht="15" thickTop="1">
      <c r="D42" s="2" t="s">
        <v>21</v>
      </c>
    </row>
  </sheetData>
  <pageMargins left="0.7" right="0.7" top="0.75" bottom="0.75" header="0.3" footer="0.3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Z17"/>
  <sheetViews>
    <sheetView workbookViewId="0">
      <selection activeCell="A13" sqref="A13"/>
    </sheetView>
  </sheetViews>
  <sheetFormatPr baseColWidth="10" defaultColWidth="14.3984375" defaultRowHeight="15.75" customHeight="1"/>
  <cols>
    <col min="1" max="1" width="20.796875" customWidth="1"/>
    <col min="2" max="2" width="17" customWidth="1"/>
    <col min="3" max="3" width="9.796875" customWidth="1"/>
    <col min="4" max="4" width="37.19921875" customWidth="1"/>
  </cols>
  <sheetData>
    <row r="1" spans="1:26">
      <c r="A1" s="1"/>
    </row>
    <row r="2" spans="1:26">
      <c r="A2" s="1" t="s">
        <v>22</v>
      </c>
      <c r="B2" s="1" t="s">
        <v>23</v>
      </c>
      <c r="C2" s="1" t="s">
        <v>24</v>
      </c>
      <c r="D2" s="1" t="s">
        <v>25</v>
      </c>
    </row>
    <row r="3" spans="1:26">
      <c r="A3" s="2" t="s">
        <v>26</v>
      </c>
      <c r="C3" s="3">
        <v>361</v>
      </c>
    </row>
    <row r="4" spans="1:26">
      <c r="A4" s="2" t="s">
        <v>27</v>
      </c>
      <c r="C4" s="3">
        <v>361</v>
      </c>
    </row>
    <row r="5" spans="1:26">
      <c r="A5" s="2" t="s">
        <v>28</v>
      </c>
      <c r="C5" s="3">
        <v>419</v>
      </c>
      <c r="D5" s="2" t="s">
        <v>29</v>
      </c>
    </row>
    <row r="7" spans="1:26">
      <c r="C7" s="3">
        <f>C3+C4+C5</f>
        <v>1141</v>
      </c>
    </row>
    <row r="10" spans="1:26">
      <c r="A10" s="4" t="s">
        <v>30</v>
      </c>
    </row>
    <row r="11" spans="1:26">
      <c r="A11" s="5" t="s">
        <v>31</v>
      </c>
    </row>
    <row r="12" spans="1:26">
      <c r="A12" s="2" t="s">
        <v>32</v>
      </c>
      <c r="B12" s="2" t="s">
        <v>33</v>
      </c>
    </row>
    <row r="13" spans="1:26">
      <c r="A13" s="6" t="s">
        <v>34</v>
      </c>
    </row>
    <row r="14" spans="1:26">
      <c r="A14" s="6" t="s">
        <v>35</v>
      </c>
    </row>
    <row r="16" spans="1:26">
      <c r="A16" s="7" t="s">
        <v>36</v>
      </c>
      <c r="B16" s="7" t="s">
        <v>37</v>
      </c>
      <c r="C16" s="8" t="s">
        <v>38</v>
      </c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</row>
    <row r="17" spans="1:3">
      <c r="A17" s="10" t="s">
        <v>39</v>
      </c>
      <c r="B17" s="11" t="s">
        <v>40</v>
      </c>
      <c r="C17" s="12" t="s">
        <v>41</v>
      </c>
    </row>
  </sheetData>
  <hyperlinks>
    <hyperlink ref="A13" r:id="rId1" xr:uid="{00000000-0004-0000-0100-000000000000}"/>
    <hyperlink ref="A14" r:id="rId2" xr:uid="{00000000-0004-0000-0100-000001000000}"/>
  </hyperlinks>
  <pageMargins left="0.7" right="0.7" top="0.75" bottom="0.75" header="0.3" footer="0.3"/>
  <pageSetup orientation="portrait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C43"/>
  <sheetViews>
    <sheetView workbookViewId="0">
      <selection activeCell="B43" sqref="B43"/>
    </sheetView>
  </sheetViews>
  <sheetFormatPr baseColWidth="10" defaultColWidth="14.3984375" defaultRowHeight="15.75" customHeight="1"/>
  <cols>
    <col min="1" max="1" width="27.19921875" customWidth="1"/>
    <col min="2" max="2" width="87.59765625" customWidth="1"/>
    <col min="3" max="3" width="51.3984375" customWidth="1"/>
  </cols>
  <sheetData>
    <row r="1" spans="1:3">
      <c r="B1" s="13" t="s">
        <v>42</v>
      </c>
      <c r="C1" s="13" t="s">
        <v>25</v>
      </c>
    </row>
    <row r="2" spans="1:3">
      <c r="A2" s="1" t="s">
        <v>43</v>
      </c>
      <c r="B2" s="6" t="s">
        <v>44</v>
      </c>
      <c r="C2" s="2" t="s">
        <v>45</v>
      </c>
    </row>
    <row r="3" spans="1:3">
      <c r="C3" s="2" t="s">
        <v>46</v>
      </c>
    </row>
    <row r="4" spans="1:3">
      <c r="C4" s="2" t="s">
        <v>47</v>
      </c>
    </row>
    <row r="5" spans="1:3">
      <c r="C5" s="2" t="s">
        <v>48</v>
      </c>
    </row>
    <row r="8" spans="1:3">
      <c r="A8" s="2" t="s">
        <v>4</v>
      </c>
      <c r="B8" s="6" t="s">
        <v>49</v>
      </c>
    </row>
    <row r="10" spans="1:3">
      <c r="A10" s="2" t="s">
        <v>50</v>
      </c>
      <c r="B10" s="6" t="s">
        <v>51</v>
      </c>
      <c r="C10" s="2" t="s">
        <v>52</v>
      </c>
    </row>
    <row r="11" spans="1:3">
      <c r="C11" s="2" t="s">
        <v>53</v>
      </c>
    </row>
    <row r="12" spans="1:3">
      <c r="C12" s="2" t="s">
        <v>54</v>
      </c>
    </row>
    <row r="13" spans="1:3">
      <c r="C13" s="2" t="s">
        <v>55</v>
      </c>
    </row>
    <row r="15" spans="1:3">
      <c r="C15" s="2" t="s">
        <v>56</v>
      </c>
    </row>
    <row r="16" spans="1:3">
      <c r="C16" s="2" t="s">
        <v>57</v>
      </c>
    </row>
    <row r="18" spans="1:3">
      <c r="A18" s="2" t="s">
        <v>58</v>
      </c>
    </row>
    <row r="19" spans="1:3">
      <c r="A19" s="2" t="s">
        <v>59</v>
      </c>
    </row>
    <row r="20" spans="1:3">
      <c r="A20" s="2" t="s">
        <v>60</v>
      </c>
    </row>
    <row r="22" spans="1:3">
      <c r="A22" s="2" t="s">
        <v>61</v>
      </c>
    </row>
    <row r="24" spans="1:3">
      <c r="A24" s="2" t="s">
        <v>62</v>
      </c>
      <c r="B24" s="6" t="s">
        <v>63</v>
      </c>
      <c r="C24" s="2" t="s">
        <v>64</v>
      </c>
    </row>
    <row r="26" spans="1:3">
      <c r="A26" s="2" t="s">
        <v>65</v>
      </c>
      <c r="C26" s="2" t="s">
        <v>66</v>
      </c>
    </row>
    <row r="27" spans="1:3">
      <c r="A27" s="2" t="s">
        <v>67</v>
      </c>
      <c r="C27" s="2" t="s">
        <v>68</v>
      </c>
    </row>
    <row r="28" spans="1:3">
      <c r="A28" s="2" t="s">
        <v>69</v>
      </c>
    </row>
    <row r="29" spans="1:3">
      <c r="A29" s="2" t="s">
        <v>70</v>
      </c>
      <c r="C29" s="2" t="s">
        <v>71</v>
      </c>
    </row>
    <row r="30" spans="1:3">
      <c r="A30" s="2" t="s">
        <v>19</v>
      </c>
      <c r="C30" s="2" t="s">
        <v>72</v>
      </c>
    </row>
    <row r="33" spans="1:3">
      <c r="A33" s="2" t="s">
        <v>73</v>
      </c>
      <c r="B33" s="6" t="s">
        <v>74</v>
      </c>
      <c r="C33" s="2" t="s">
        <v>75</v>
      </c>
    </row>
    <row r="34" spans="1:3">
      <c r="C34" s="2" t="s">
        <v>76</v>
      </c>
    </row>
    <row r="35" spans="1:3">
      <c r="C35" s="2" t="s">
        <v>77</v>
      </c>
    </row>
    <row r="36" spans="1:3">
      <c r="C36" s="2" t="s">
        <v>78</v>
      </c>
    </row>
    <row r="37" spans="1:3">
      <c r="C37" s="2" t="s">
        <v>79</v>
      </c>
    </row>
    <row r="39" spans="1:3">
      <c r="A39" s="2" t="s">
        <v>80</v>
      </c>
      <c r="C39" s="2" t="s">
        <v>81</v>
      </c>
    </row>
    <row r="40" spans="1:3">
      <c r="C40" s="2" t="s">
        <v>82</v>
      </c>
    </row>
    <row r="41" spans="1:3">
      <c r="A41" s="2"/>
    </row>
    <row r="42" spans="1:3">
      <c r="A42" s="2"/>
    </row>
    <row r="43" spans="1:3">
      <c r="A43" s="2" t="s">
        <v>83</v>
      </c>
      <c r="B43" s="6" t="s">
        <v>84</v>
      </c>
      <c r="C43" s="2" t="s">
        <v>85</v>
      </c>
    </row>
  </sheetData>
  <hyperlinks>
    <hyperlink ref="B2" r:id="rId1" xr:uid="{00000000-0004-0000-0200-000000000000}"/>
    <hyperlink ref="B8" r:id="rId2" xr:uid="{00000000-0004-0000-0200-000001000000}"/>
    <hyperlink ref="B10" r:id="rId3" xr:uid="{00000000-0004-0000-0200-000002000000}"/>
    <hyperlink ref="B24" r:id="rId4" xr:uid="{00000000-0004-0000-0200-000003000000}"/>
    <hyperlink ref="B33" r:id="rId5" xr:uid="{00000000-0004-0000-0200-000004000000}"/>
    <hyperlink ref="B43" r:id="rId6" xr:uid="{00000000-0004-0000-0200-000005000000}"/>
  </hyperlinks>
  <pageMargins left="0.7" right="0.7" top="0.75" bottom="0.75" header="0.3" footer="0.3"/>
  <pageSetup orientation="portrait" horizontalDpi="0" verticalDpi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K67"/>
  <sheetViews>
    <sheetView workbookViewId="0"/>
  </sheetViews>
  <sheetFormatPr baseColWidth="10" defaultColWidth="14.3984375" defaultRowHeight="15.75" customHeight="1"/>
  <cols>
    <col min="8" max="8" width="10" customWidth="1"/>
  </cols>
  <sheetData>
    <row r="1" spans="1:11" ht="16">
      <c r="A1" s="14"/>
      <c r="B1" s="15" t="s">
        <v>86</v>
      </c>
      <c r="C1" s="16"/>
      <c r="D1" s="16"/>
      <c r="E1" s="14"/>
      <c r="F1" s="14"/>
      <c r="G1" s="14"/>
      <c r="H1" s="14"/>
      <c r="I1" s="14"/>
      <c r="J1" s="14"/>
      <c r="K1" s="14"/>
    </row>
    <row r="2" spans="1:11" ht="14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</row>
    <row r="3" spans="1:11" ht="14">
      <c r="A3" s="14"/>
      <c r="B3" s="16"/>
      <c r="C3" s="17" t="s">
        <v>87</v>
      </c>
      <c r="D3" s="17" t="s">
        <v>88</v>
      </c>
      <c r="E3" s="14"/>
      <c r="F3" s="14"/>
      <c r="G3" s="14"/>
      <c r="H3" s="14"/>
      <c r="I3" s="14"/>
      <c r="J3" s="14"/>
      <c r="K3" s="14"/>
    </row>
    <row r="4" spans="1:11" ht="14">
      <c r="A4" s="14"/>
      <c r="B4" s="18" t="s">
        <v>89</v>
      </c>
      <c r="C4" s="19">
        <v>1</v>
      </c>
      <c r="D4" s="19">
        <f>MAX(J12:J67)</f>
        <v>0.99</v>
      </c>
      <c r="E4" s="14"/>
      <c r="F4" s="14"/>
      <c r="G4" s="14"/>
      <c r="H4" s="14"/>
      <c r="I4" s="14"/>
      <c r="J4" s="14"/>
      <c r="K4" s="14"/>
    </row>
    <row r="5" spans="1:11" ht="14">
      <c r="A5" s="14"/>
      <c r="B5" s="18" t="s">
        <v>90</v>
      </c>
      <c r="C5" s="19">
        <v>4700</v>
      </c>
      <c r="D5" s="19">
        <f>MAX(H12:H67)</f>
        <v>4700</v>
      </c>
      <c r="E5" s="14"/>
      <c r="F5" s="14"/>
      <c r="G5" s="14"/>
      <c r="H5" s="14"/>
      <c r="I5" s="14"/>
      <c r="J5" s="14"/>
      <c r="K5" s="14"/>
    </row>
    <row r="6" spans="1:11" ht="14">
      <c r="A6" s="14"/>
      <c r="B6" s="18" t="s">
        <v>91</v>
      </c>
      <c r="C6" s="19">
        <v>75</v>
      </c>
      <c r="D6" s="19">
        <f>MIN(H12:H67)</f>
        <v>246</v>
      </c>
      <c r="E6" s="14"/>
      <c r="F6" s="14"/>
      <c r="G6" s="14"/>
      <c r="H6" s="14"/>
      <c r="I6" s="14"/>
      <c r="J6" s="14"/>
      <c r="K6" s="14"/>
    </row>
    <row r="7" spans="1:11" ht="14">
      <c r="A7" s="14"/>
      <c r="B7" s="18" t="s">
        <v>92</v>
      </c>
      <c r="C7" s="16"/>
      <c r="D7" s="19">
        <f>MAX(I12:I67)</f>
        <v>250</v>
      </c>
      <c r="E7" s="14"/>
      <c r="F7" s="14"/>
      <c r="G7" s="14"/>
      <c r="H7" s="14"/>
      <c r="I7" s="14"/>
      <c r="J7" s="14"/>
      <c r="K7" s="14"/>
    </row>
    <row r="8" spans="1:11" ht="14">
      <c r="A8" s="14"/>
      <c r="B8" s="18" t="s">
        <v>93</v>
      </c>
      <c r="C8" s="16"/>
      <c r="D8" s="19">
        <f>MAX(K12:K67)</f>
        <v>3110</v>
      </c>
      <c r="E8" s="14"/>
      <c r="F8" s="14"/>
      <c r="G8" s="14"/>
      <c r="H8" s="14"/>
      <c r="I8" s="14"/>
      <c r="J8" s="14"/>
      <c r="K8" s="14"/>
    </row>
    <row r="9" spans="1:11" ht="14">
      <c r="A9" s="14"/>
      <c r="B9" s="18" t="s">
        <v>94</v>
      </c>
      <c r="C9" s="16"/>
      <c r="D9" s="19">
        <v>363</v>
      </c>
      <c r="E9" s="16" t="s">
        <v>95</v>
      </c>
      <c r="F9" s="14"/>
      <c r="G9" s="14"/>
      <c r="H9" s="14"/>
      <c r="I9" s="14"/>
      <c r="J9" s="14"/>
      <c r="K9" s="14"/>
    </row>
    <row r="10" spans="1:11" ht="14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</row>
    <row r="11" spans="1:11" ht="25.5" customHeight="1">
      <c r="A11" s="14"/>
      <c r="B11" s="17" t="s">
        <v>96</v>
      </c>
      <c r="C11" s="17" t="s">
        <v>97</v>
      </c>
      <c r="D11" s="17" t="s">
        <v>98</v>
      </c>
      <c r="E11" s="17" t="s">
        <v>99</v>
      </c>
      <c r="F11" s="17" t="s">
        <v>100</v>
      </c>
      <c r="G11" s="17" t="s">
        <v>101</v>
      </c>
      <c r="H11" s="17" t="s">
        <v>102</v>
      </c>
      <c r="I11" s="17" t="s">
        <v>103</v>
      </c>
      <c r="J11" s="17" t="s">
        <v>104</v>
      </c>
      <c r="K11" s="17" t="s">
        <v>105</v>
      </c>
    </row>
    <row r="12" spans="1:11" ht="14">
      <c r="A12" s="14"/>
      <c r="B12" s="16" t="s">
        <v>106</v>
      </c>
      <c r="C12" s="16" t="s">
        <v>107</v>
      </c>
      <c r="D12" s="19">
        <v>0.5</v>
      </c>
      <c r="E12" s="19">
        <v>3</v>
      </c>
      <c r="F12" s="19">
        <v>0.5</v>
      </c>
      <c r="G12" s="19">
        <v>0.5</v>
      </c>
      <c r="H12" s="19">
        <v>2657</v>
      </c>
      <c r="I12" s="19">
        <v>18</v>
      </c>
      <c r="J12" s="19">
        <v>0.96</v>
      </c>
      <c r="K12" s="19">
        <v>367</v>
      </c>
    </row>
    <row r="13" spans="1:11" ht="14">
      <c r="A13" s="14"/>
      <c r="B13" s="16" t="s">
        <v>106</v>
      </c>
      <c r="C13" s="16" t="s">
        <v>107</v>
      </c>
      <c r="D13" s="19">
        <v>0.5</v>
      </c>
      <c r="E13" s="19">
        <v>3</v>
      </c>
      <c r="F13" s="19">
        <v>0.5</v>
      </c>
      <c r="G13" s="19">
        <v>2.5000000000000001E-2</v>
      </c>
      <c r="H13" s="19">
        <v>4428</v>
      </c>
      <c r="I13" s="19">
        <v>39</v>
      </c>
      <c r="J13" s="19">
        <v>0.24</v>
      </c>
      <c r="K13" s="19">
        <v>54.6</v>
      </c>
    </row>
    <row r="14" spans="1:11" ht="14">
      <c r="A14" s="14"/>
      <c r="B14" s="16" t="s">
        <v>106</v>
      </c>
      <c r="C14" s="16" t="s">
        <v>108</v>
      </c>
      <c r="D14" s="19">
        <v>0.5</v>
      </c>
      <c r="E14" s="19">
        <v>3</v>
      </c>
      <c r="F14" s="19">
        <v>0.5</v>
      </c>
      <c r="G14" s="19">
        <v>0.5</v>
      </c>
      <c r="H14" s="19">
        <v>3455</v>
      </c>
      <c r="I14" s="19">
        <v>18</v>
      </c>
      <c r="J14" s="19">
        <v>0.97</v>
      </c>
      <c r="K14" s="19">
        <v>284</v>
      </c>
    </row>
    <row r="15" spans="1:11" ht="14">
      <c r="A15" s="14"/>
      <c r="B15" s="16" t="s">
        <v>106</v>
      </c>
      <c r="C15" s="16" t="s">
        <v>108</v>
      </c>
      <c r="D15" s="19">
        <v>0.5</v>
      </c>
      <c r="E15" s="19">
        <v>3</v>
      </c>
      <c r="F15" s="19">
        <v>0.5</v>
      </c>
      <c r="G15" s="19">
        <v>2.5000000000000001E-2</v>
      </c>
      <c r="H15" s="19">
        <v>4700</v>
      </c>
      <c r="I15" s="19">
        <v>100</v>
      </c>
      <c r="J15" s="19">
        <v>0.24</v>
      </c>
      <c r="K15" s="19">
        <v>51</v>
      </c>
    </row>
    <row r="16" spans="1:11" ht="14">
      <c r="A16" s="14"/>
      <c r="B16" s="16" t="s">
        <v>106</v>
      </c>
      <c r="C16" s="16" t="s">
        <v>109</v>
      </c>
      <c r="D16" s="19">
        <v>0.125</v>
      </c>
      <c r="E16" s="14"/>
      <c r="F16" s="19">
        <v>0.5</v>
      </c>
      <c r="G16" s="14"/>
      <c r="H16" s="19">
        <v>4700</v>
      </c>
      <c r="I16" s="19">
        <v>13</v>
      </c>
      <c r="J16" s="19">
        <v>0.04</v>
      </c>
      <c r="K16" s="14"/>
    </row>
    <row r="17" spans="1:11" ht="14">
      <c r="A17" s="14"/>
      <c r="B17" s="16" t="s">
        <v>106</v>
      </c>
      <c r="C17" s="16" t="s">
        <v>109</v>
      </c>
      <c r="D17" s="19">
        <v>0.5</v>
      </c>
      <c r="E17" s="14"/>
      <c r="F17" s="19">
        <v>2</v>
      </c>
      <c r="G17" s="14"/>
      <c r="H17" s="19">
        <v>3412</v>
      </c>
      <c r="I17" s="19">
        <v>17</v>
      </c>
      <c r="J17" s="19">
        <v>0.96</v>
      </c>
      <c r="K17" s="14"/>
    </row>
    <row r="18" spans="1:11" ht="14">
      <c r="A18" s="14"/>
      <c r="B18" s="16" t="s">
        <v>106</v>
      </c>
      <c r="C18" s="16" t="s">
        <v>109</v>
      </c>
      <c r="D18" s="19">
        <v>1</v>
      </c>
      <c r="E18" s="14"/>
      <c r="F18" s="19">
        <v>2</v>
      </c>
      <c r="G18" s="14"/>
      <c r="H18" s="19">
        <v>1895</v>
      </c>
      <c r="I18" s="19">
        <v>17</v>
      </c>
      <c r="J18" s="19">
        <v>0.96</v>
      </c>
      <c r="K18" s="14"/>
    </row>
    <row r="19" spans="1:11" ht="14">
      <c r="A19" s="14"/>
      <c r="B19" s="16" t="s">
        <v>106</v>
      </c>
      <c r="C19" s="16" t="s">
        <v>110</v>
      </c>
      <c r="D19" s="19">
        <v>2.5</v>
      </c>
      <c r="E19" s="19">
        <v>6</v>
      </c>
      <c r="F19" s="19">
        <v>0.04</v>
      </c>
      <c r="G19" s="19">
        <v>2.5</v>
      </c>
      <c r="H19" s="19">
        <v>1707</v>
      </c>
      <c r="I19" s="19">
        <v>46</v>
      </c>
      <c r="J19" s="19">
        <v>0.98</v>
      </c>
      <c r="K19" s="19">
        <v>583</v>
      </c>
    </row>
    <row r="20" spans="1:11" ht="14">
      <c r="A20" s="14"/>
      <c r="B20" s="16" t="s">
        <v>111</v>
      </c>
      <c r="C20" s="16" t="s">
        <v>107</v>
      </c>
      <c r="D20" s="19">
        <v>0.5</v>
      </c>
      <c r="E20" s="19">
        <v>2</v>
      </c>
      <c r="F20" s="19">
        <v>0.5</v>
      </c>
      <c r="G20" s="19">
        <v>0.5</v>
      </c>
      <c r="H20" s="19">
        <v>2652</v>
      </c>
      <c r="I20" s="19">
        <v>38</v>
      </c>
      <c r="J20" s="19">
        <v>0.96</v>
      </c>
      <c r="K20" s="19">
        <v>366</v>
      </c>
    </row>
    <row r="21" spans="1:11" ht="14">
      <c r="A21" s="14"/>
      <c r="B21" s="16" t="s">
        <v>111</v>
      </c>
      <c r="C21" s="16" t="s">
        <v>107</v>
      </c>
      <c r="D21" s="19">
        <v>0.5</v>
      </c>
      <c r="E21" s="19">
        <v>2</v>
      </c>
      <c r="F21" s="19">
        <v>0.5</v>
      </c>
      <c r="G21" s="19">
        <v>2.5000000000000001E-2</v>
      </c>
      <c r="H21" s="19">
        <v>4199</v>
      </c>
      <c r="I21" s="19">
        <v>200</v>
      </c>
      <c r="J21" s="19">
        <v>0.22</v>
      </c>
      <c r="K21" s="19">
        <v>54</v>
      </c>
    </row>
    <row r="22" spans="1:11" ht="14">
      <c r="A22" s="14"/>
      <c r="B22" s="16" t="s">
        <v>111</v>
      </c>
      <c r="C22" s="16" t="s">
        <v>108</v>
      </c>
      <c r="D22" s="19">
        <v>0.5</v>
      </c>
      <c r="E22" s="19">
        <v>2</v>
      </c>
      <c r="F22" s="19">
        <v>0.5</v>
      </c>
      <c r="G22" s="19">
        <v>0.5</v>
      </c>
      <c r="H22" s="19">
        <v>3455</v>
      </c>
      <c r="I22" s="19">
        <v>37</v>
      </c>
      <c r="J22" s="19">
        <v>0.94</v>
      </c>
      <c r="K22" s="19">
        <v>275</v>
      </c>
    </row>
    <row r="23" spans="1:11" ht="14">
      <c r="A23" s="14"/>
      <c r="B23" s="16" t="s">
        <v>111</v>
      </c>
      <c r="C23" s="16" t="s">
        <v>108</v>
      </c>
      <c r="D23" s="19">
        <v>0.5</v>
      </c>
      <c r="E23" s="19">
        <v>2</v>
      </c>
      <c r="F23" s="19">
        <v>0.5</v>
      </c>
      <c r="G23" s="19">
        <v>2.5000000000000001E-2</v>
      </c>
      <c r="H23" s="19">
        <v>4700</v>
      </c>
      <c r="I23" s="19">
        <v>186</v>
      </c>
      <c r="J23" s="19">
        <v>0.21</v>
      </c>
      <c r="K23" s="19">
        <v>45</v>
      </c>
    </row>
    <row r="24" spans="1:11" ht="14">
      <c r="A24" s="14"/>
      <c r="B24" s="16" t="s">
        <v>111</v>
      </c>
      <c r="C24" s="16" t="s">
        <v>109</v>
      </c>
      <c r="D24" s="19">
        <v>0.125</v>
      </c>
      <c r="E24" s="14"/>
      <c r="F24" s="19">
        <v>0.5</v>
      </c>
      <c r="G24" s="14"/>
      <c r="H24" s="19">
        <v>4700</v>
      </c>
      <c r="I24" s="19">
        <v>33</v>
      </c>
      <c r="J24" s="19">
        <v>7.0000000000000007E-2</v>
      </c>
      <c r="K24" s="14"/>
    </row>
    <row r="25" spans="1:11" ht="14">
      <c r="A25" s="14"/>
      <c r="B25" s="16" t="s">
        <v>111</v>
      </c>
      <c r="C25" s="16" t="s">
        <v>109</v>
      </c>
      <c r="D25" s="19">
        <v>0.5</v>
      </c>
      <c r="E25" s="14"/>
      <c r="F25" s="19">
        <v>2</v>
      </c>
      <c r="G25" s="14"/>
      <c r="H25" s="19">
        <v>1300</v>
      </c>
      <c r="I25" s="19">
        <v>32</v>
      </c>
      <c r="J25" s="19">
        <v>0.83</v>
      </c>
      <c r="K25" s="14"/>
    </row>
    <row r="26" spans="1:11" ht="14">
      <c r="A26" s="14"/>
      <c r="B26" s="16" t="s">
        <v>111</v>
      </c>
      <c r="C26" s="16" t="s">
        <v>109</v>
      </c>
      <c r="D26" s="19">
        <v>1</v>
      </c>
      <c r="E26" s="14"/>
      <c r="F26" s="19">
        <v>2</v>
      </c>
      <c r="G26" s="14"/>
      <c r="H26" s="19">
        <v>722</v>
      </c>
      <c r="I26" s="19">
        <v>35</v>
      </c>
      <c r="J26" s="19">
        <v>0.91</v>
      </c>
      <c r="K26" s="14"/>
    </row>
    <row r="27" spans="1:11" ht="14">
      <c r="A27" s="14"/>
      <c r="B27" s="16" t="s">
        <v>111</v>
      </c>
      <c r="C27" s="16" t="s">
        <v>110</v>
      </c>
      <c r="D27" s="19">
        <v>2.5</v>
      </c>
      <c r="E27" s="19">
        <v>6</v>
      </c>
      <c r="F27" s="19">
        <v>0.04</v>
      </c>
      <c r="G27" s="19">
        <v>2.5</v>
      </c>
      <c r="H27" s="19">
        <v>1163</v>
      </c>
      <c r="I27" s="19">
        <v>99</v>
      </c>
      <c r="J27" s="19">
        <v>0.99</v>
      </c>
      <c r="K27" s="19">
        <v>860</v>
      </c>
    </row>
    <row r="28" spans="1:11" ht="14">
      <c r="A28" s="14"/>
      <c r="B28" s="16" t="s">
        <v>112</v>
      </c>
      <c r="C28" s="16" t="s">
        <v>107</v>
      </c>
      <c r="D28" s="19">
        <v>0.5</v>
      </c>
      <c r="E28" s="19">
        <v>3</v>
      </c>
      <c r="F28" s="19">
        <v>0.5</v>
      </c>
      <c r="G28" s="19">
        <v>0.5</v>
      </c>
      <c r="H28" s="19">
        <v>1550</v>
      </c>
      <c r="I28" s="19">
        <v>5.7</v>
      </c>
      <c r="J28" s="19">
        <v>0.95</v>
      </c>
      <c r="K28" s="19">
        <v>691</v>
      </c>
    </row>
    <row r="29" spans="1:11" ht="14">
      <c r="A29" s="14"/>
      <c r="B29" s="16" t="s">
        <v>112</v>
      </c>
      <c r="C29" s="16" t="s">
        <v>107</v>
      </c>
      <c r="D29" s="19">
        <v>0.5</v>
      </c>
      <c r="E29" s="19">
        <v>3</v>
      </c>
      <c r="F29" s="19">
        <v>0.5</v>
      </c>
      <c r="G29" s="19">
        <v>2.5000000000000001E-2</v>
      </c>
      <c r="H29" s="19">
        <v>2583</v>
      </c>
      <c r="I29" s="19">
        <v>64</v>
      </c>
      <c r="J29" s="19">
        <v>0.48</v>
      </c>
      <c r="K29" s="19">
        <v>187</v>
      </c>
    </row>
    <row r="30" spans="1:11" ht="14">
      <c r="A30" s="14"/>
      <c r="B30" s="16" t="s">
        <v>112</v>
      </c>
      <c r="C30" s="16" t="s">
        <v>108</v>
      </c>
      <c r="D30" s="19">
        <v>0.5</v>
      </c>
      <c r="E30" s="19">
        <v>3</v>
      </c>
      <c r="F30" s="19">
        <v>0.375</v>
      </c>
      <c r="G30" s="19">
        <v>0.5</v>
      </c>
      <c r="H30" s="19">
        <v>3455</v>
      </c>
      <c r="I30" s="19">
        <v>7.7</v>
      </c>
      <c r="J30" s="19">
        <v>0.96</v>
      </c>
      <c r="K30" s="19">
        <v>281</v>
      </c>
    </row>
    <row r="31" spans="1:11" ht="14">
      <c r="A31" s="14"/>
      <c r="B31" s="16" t="s">
        <v>112</v>
      </c>
      <c r="C31" s="16" t="s">
        <v>108</v>
      </c>
      <c r="D31" s="19">
        <v>0.5</v>
      </c>
      <c r="E31" s="19">
        <v>3</v>
      </c>
      <c r="F31" s="19">
        <v>0.375</v>
      </c>
      <c r="G31" s="19">
        <v>2.5000000000000001E-2</v>
      </c>
      <c r="H31" s="19">
        <v>4700</v>
      </c>
      <c r="I31" s="19">
        <v>97</v>
      </c>
      <c r="J31" s="19">
        <v>0.54</v>
      </c>
      <c r="K31" s="19">
        <v>117</v>
      </c>
    </row>
    <row r="32" spans="1:11" ht="14">
      <c r="A32" s="14"/>
      <c r="B32" s="16" t="s">
        <v>112</v>
      </c>
      <c r="C32" s="16" t="s">
        <v>109</v>
      </c>
      <c r="D32" s="19">
        <v>0.125</v>
      </c>
      <c r="E32" s="14"/>
      <c r="F32" s="19">
        <v>0.5</v>
      </c>
      <c r="G32" s="14"/>
      <c r="H32" s="19">
        <v>4700</v>
      </c>
      <c r="I32" s="19">
        <v>8.9</v>
      </c>
      <c r="J32" s="19">
        <v>0.09</v>
      </c>
      <c r="K32" s="14"/>
    </row>
    <row r="33" spans="1:11" ht="14">
      <c r="A33" s="14"/>
      <c r="B33" s="16" t="s">
        <v>112</v>
      </c>
      <c r="C33" s="16" t="s">
        <v>109</v>
      </c>
      <c r="D33" s="19">
        <v>0.5</v>
      </c>
      <c r="E33" s="14"/>
      <c r="F33" s="19">
        <v>2</v>
      </c>
      <c r="G33" s="14"/>
      <c r="H33" s="19">
        <v>1895</v>
      </c>
      <c r="I33" s="19">
        <v>5.7</v>
      </c>
      <c r="J33" s="19">
        <v>0.98</v>
      </c>
      <c r="K33" s="14"/>
    </row>
    <row r="34" spans="1:11" ht="14">
      <c r="A34" s="14"/>
      <c r="B34" s="16" t="s">
        <v>112</v>
      </c>
      <c r="C34" s="16" t="s">
        <v>109</v>
      </c>
      <c r="D34" s="19">
        <v>1</v>
      </c>
      <c r="E34" s="14"/>
      <c r="F34" s="19">
        <v>2</v>
      </c>
      <c r="G34" s="14"/>
      <c r="H34" s="19">
        <v>1053</v>
      </c>
      <c r="I34" s="19">
        <v>5.7</v>
      </c>
      <c r="J34" s="19">
        <v>0.98</v>
      </c>
      <c r="K34" s="14"/>
    </row>
    <row r="35" spans="1:11" ht="14">
      <c r="A35" s="14"/>
      <c r="B35" s="16" t="s">
        <v>112</v>
      </c>
      <c r="C35" s="16" t="s">
        <v>110</v>
      </c>
      <c r="D35" s="19">
        <v>2.5</v>
      </c>
      <c r="E35" s="19">
        <v>6</v>
      </c>
      <c r="F35" s="19">
        <v>0.04</v>
      </c>
      <c r="G35" s="19">
        <v>3</v>
      </c>
      <c r="H35" s="19">
        <v>1024</v>
      </c>
      <c r="I35" s="19">
        <v>14</v>
      </c>
      <c r="J35" s="19">
        <v>0.95</v>
      </c>
      <c r="K35" s="19">
        <v>941</v>
      </c>
    </row>
    <row r="36" spans="1:11" ht="14">
      <c r="A36" s="14"/>
      <c r="B36" s="16" t="s">
        <v>113</v>
      </c>
      <c r="C36" s="16" t="s">
        <v>107</v>
      </c>
      <c r="D36" s="19">
        <v>0.5</v>
      </c>
      <c r="E36" s="19">
        <v>3</v>
      </c>
      <c r="F36" s="19">
        <v>0.5</v>
      </c>
      <c r="G36" s="19">
        <v>0.5</v>
      </c>
      <c r="H36" s="19">
        <v>1550</v>
      </c>
      <c r="I36" s="19">
        <v>8.8000000000000007</v>
      </c>
      <c r="J36" s="19">
        <v>0.93</v>
      </c>
      <c r="K36" s="19">
        <v>611</v>
      </c>
    </row>
    <row r="37" spans="1:11" ht="14">
      <c r="A37" s="14"/>
      <c r="B37" s="16" t="s">
        <v>113</v>
      </c>
      <c r="C37" s="16" t="s">
        <v>107</v>
      </c>
      <c r="D37" s="19">
        <v>0.5</v>
      </c>
      <c r="E37" s="19">
        <v>3</v>
      </c>
      <c r="F37" s="19">
        <v>0.5</v>
      </c>
      <c r="G37" s="19">
        <v>2.5000000000000001E-2</v>
      </c>
      <c r="H37" s="19">
        <v>2583</v>
      </c>
      <c r="I37" s="19">
        <v>53</v>
      </c>
      <c r="J37" s="19">
        <v>0.25</v>
      </c>
      <c r="K37" s="19">
        <v>100</v>
      </c>
    </row>
    <row r="38" spans="1:11" ht="14">
      <c r="A38" s="14"/>
      <c r="B38" s="16" t="s">
        <v>113</v>
      </c>
      <c r="C38" s="16" t="s">
        <v>108</v>
      </c>
      <c r="D38" s="19">
        <v>0.5</v>
      </c>
      <c r="E38" s="19">
        <v>3</v>
      </c>
      <c r="F38" s="19">
        <v>0.5</v>
      </c>
      <c r="G38" s="19">
        <v>0.5</v>
      </c>
      <c r="H38" s="19">
        <v>2657</v>
      </c>
      <c r="I38" s="19">
        <v>9</v>
      </c>
      <c r="J38" s="19">
        <v>0.96</v>
      </c>
      <c r="K38" s="19">
        <v>365</v>
      </c>
    </row>
    <row r="39" spans="1:11" ht="14">
      <c r="A39" s="14"/>
      <c r="B39" s="16" t="s">
        <v>113</v>
      </c>
      <c r="C39" s="16" t="s">
        <v>108</v>
      </c>
      <c r="D39" s="19">
        <v>0.5</v>
      </c>
      <c r="E39" s="19">
        <v>3</v>
      </c>
      <c r="F39" s="19">
        <v>0.5</v>
      </c>
      <c r="G39" s="19">
        <v>2.5000000000000001E-2</v>
      </c>
      <c r="H39" s="19">
        <v>4428</v>
      </c>
      <c r="I39" s="19">
        <v>91</v>
      </c>
      <c r="J39" s="19">
        <v>0.43</v>
      </c>
      <c r="K39" s="19">
        <v>100</v>
      </c>
    </row>
    <row r="40" spans="1:11" ht="14">
      <c r="A40" s="14"/>
      <c r="B40" s="16" t="s">
        <v>113</v>
      </c>
      <c r="C40" s="16" t="s">
        <v>109</v>
      </c>
      <c r="D40" s="19">
        <v>0.125</v>
      </c>
      <c r="E40" s="14"/>
      <c r="F40" s="19">
        <v>0.5</v>
      </c>
      <c r="G40" s="14"/>
      <c r="H40" s="19">
        <v>2750</v>
      </c>
      <c r="I40" s="19">
        <v>7.8</v>
      </c>
      <c r="J40" s="19">
        <v>0.05</v>
      </c>
      <c r="K40" s="14"/>
    </row>
    <row r="41" spans="1:11" ht="14">
      <c r="A41" s="14"/>
      <c r="B41" s="16" t="s">
        <v>113</v>
      </c>
      <c r="C41" s="16" t="s">
        <v>109</v>
      </c>
      <c r="D41" s="19">
        <v>0.5</v>
      </c>
      <c r="E41" s="14"/>
      <c r="F41" s="19">
        <v>2</v>
      </c>
      <c r="G41" s="14"/>
      <c r="H41" s="19">
        <v>688</v>
      </c>
      <c r="I41" s="19">
        <v>5.8</v>
      </c>
      <c r="J41" s="19">
        <v>0.65</v>
      </c>
      <c r="K41" s="14"/>
    </row>
    <row r="42" spans="1:11" ht="14">
      <c r="A42" s="14"/>
      <c r="B42" s="16" t="s">
        <v>113</v>
      </c>
      <c r="C42" s="16" t="s">
        <v>109</v>
      </c>
      <c r="D42" s="19">
        <v>1</v>
      </c>
      <c r="E42" s="14"/>
      <c r="F42" s="19">
        <v>2</v>
      </c>
      <c r="G42" s="14"/>
      <c r="H42" s="19">
        <v>382</v>
      </c>
      <c r="I42" s="19">
        <v>5.3</v>
      </c>
      <c r="J42" s="19">
        <v>0.59</v>
      </c>
      <c r="K42" s="14"/>
    </row>
    <row r="43" spans="1:11" ht="14">
      <c r="A43" s="14"/>
      <c r="B43" s="16" t="s">
        <v>113</v>
      </c>
      <c r="C43" s="16" t="s">
        <v>110</v>
      </c>
      <c r="D43" s="19">
        <v>2.5</v>
      </c>
      <c r="E43" s="19">
        <v>6</v>
      </c>
      <c r="F43" s="19">
        <v>0.04</v>
      </c>
      <c r="G43" s="19">
        <v>2.5</v>
      </c>
      <c r="H43" s="19">
        <v>768</v>
      </c>
      <c r="I43" s="19">
        <v>23</v>
      </c>
      <c r="J43" s="19">
        <v>0.99</v>
      </c>
      <c r="K43" s="19">
        <v>1300</v>
      </c>
    </row>
    <row r="44" spans="1:11" ht="14">
      <c r="A44" s="14"/>
      <c r="B44" s="16" t="s">
        <v>114</v>
      </c>
      <c r="C44" s="16" t="s">
        <v>107</v>
      </c>
      <c r="D44" s="19">
        <v>0.5</v>
      </c>
      <c r="E44" s="19">
        <v>4</v>
      </c>
      <c r="F44" s="19">
        <v>0.5</v>
      </c>
      <c r="G44" s="19">
        <v>0.5</v>
      </c>
      <c r="H44" s="19">
        <v>964</v>
      </c>
      <c r="I44" s="19">
        <v>3</v>
      </c>
      <c r="J44" s="19">
        <v>0.55000000000000004</v>
      </c>
      <c r="K44" s="19">
        <v>581</v>
      </c>
    </row>
    <row r="45" spans="1:11" ht="14">
      <c r="A45" s="14"/>
      <c r="B45" s="16" t="s">
        <v>114</v>
      </c>
      <c r="C45" s="16" t="s">
        <v>107</v>
      </c>
      <c r="D45" s="19">
        <v>0.5</v>
      </c>
      <c r="E45" s="19">
        <v>4</v>
      </c>
      <c r="F45" s="19">
        <v>0.5</v>
      </c>
      <c r="G45" s="19">
        <v>2.5000000000000001E-2</v>
      </c>
      <c r="H45" s="19">
        <v>1181</v>
      </c>
      <c r="I45" s="19">
        <v>12</v>
      </c>
      <c r="J45" s="19">
        <v>0.1</v>
      </c>
      <c r="K45" s="19">
        <v>86</v>
      </c>
    </row>
    <row r="46" spans="1:11" ht="14">
      <c r="A46" s="14"/>
      <c r="B46" s="16" t="s">
        <v>114</v>
      </c>
      <c r="C46" s="16" t="s">
        <v>108</v>
      </c>
      <c r="D46" s="19">
        <v>0.5</v>
      </c>
      <c r="E46" s="19">
        <v>4</v>
      </c>
      <c r="F46" s="19">
        <v>0.5</v>
      </c>
      <c r="G46" s="19">
        <v>0.5</v>
      </c>
      <c r="H46" s="19">
        <v>1550</v>
      </c>
      <c r="I46" s="19">
        <v>5.3</v>
      </c>
      <c r="J46" s="19">
        <v>0.97</v>
      </c>
      <c r="K46" s="19">
        <v>631</v>
      </c>
    </row>
    <row r="47" spans="1:11" ht="14">
      <c r="A47" s="14"/>
      <c r="B47" s="16" t="s">
        <v>114</v>
      </c>
      <c r="C47" s="16" t="s">
        <v>108</v>
      </c>
      <c r="D47" s="19">
        <v>0.5</v>
      </c>
      <c r="E47" s="19">
        <v>4</v>
      </c>
      <c r="F47" s="19">
        <v>0.5</v>
      </c>
      <c r="G47" s="19">
        <v>2.5000000000000001E-2</v>
      </c>
      <c r="H47" s="19">
        <v>2583</v>
      </c>
      <c r="I47" s="19">
        <v>35</v>
      </c>
      <c r="J47" s="19">
        <v>0.28999999999999998</v>
      </c>
      <c r="K47" s="19">
        <v>114</v>
      </c>
    </row>
    <row r="48" spans="1:11" ht="14">
      <c r="A48" s="14"/>
      <c r="B48" s="16" t="s">
        <v>114</v>
      </c>
      <c r="C48" s="16" t="s">
        <v>109</v>
      </c>
      <c r="D48" s="19">
        <v>0.125</v>
      </c>
      <c r="E48" s="14"/>
      <c r="F48" s="19">
        <v>0.5</v>
      </c>
      <c r="G48" s="14"/>
      <c r="H48" s="19">
        <v>2475</v>
      </c>
      <c r="I48" s="19">
        <v>7</v>
      </c>
      <c r="J48" s="19">
        <v>0.08</v>
      </c>
      <c r="K48" s="14"/>
    </row>
    <row r="49" spans="1:11" ht="14">
      <c r="A49" s="14"/>
      <c r="B49" s="16" t="s">
        <v>114</v>
      </c>
      <c r="C49" s="16" t="s">
        <v>109</v>
      </c>
      <c r="D49" s="19">
        <v>0.5</v>
      </c>
      <c r="E49" s="14"/>
      <c r="F49" s="19">
        <v>2</v>
      </c>
      <c r="G49" s="14"/>
      <c r="H49" s="19">
        <v>588</v>
      </c>
      <c r="I49" s="19">
        <v>5</v>
      </c>
      <c r="J49" s="19">
        <v>0.95</v>
      </c>
      <c r="K49" s="14"/>
    </row>
    <row r="50" spans="1:11" ht="14">
      <c r="A50" s="14"/>
      <c r="B50" s="16" t="s">
        <v>114</v>
      </c>
      <c r="C50" s="16" t="s">
        <v>109</v>
      </c>
      <c r="D50" s="19">
        <v>1</v>
      </c>
      <c r="E50" s="14"/>
      <c r="F50" s="19">
        <v>2</v>
      </c>
      <c r="G50" s="14"/>
      <c r="H50" s="19">
        <v>280</v>
      </c>
      <c r="I50" s="19">
        <v>5</v>
      </c>
      <c r="J50" s="19">
        <v>0.95</v>
      </c>
      <c r="K50" s="14"/>
    </row>
    <row r="51" spans="1:11" ht="14">
      <c r="A51" s="14"/>
      <c r="B51" s="16" t="s">
        <v>114</v>
      </c>
      <c r="C51" s="16" t="s">
        <v>110</v>
      </c>
      <c r="D51" s="19">
        <v>2.5</v>
      </c>
      <c r="E51" s="19">
        <v>6</v>
      </c>
      <c r="F51" s="19">
        <v>0.04</v>
      </c>
      <c r="G51" s="19">
        <v>2.5</v>
      </c>
      <c r="H51" s="19">
        <v>448</v>
      </c>
      <c r="I51" s="19">
        <v>13</v>
      </c>
      <c r="J51" s="19">
        <v>0.99</v>
      </c>
      <c r="K51" s="19">
        <v>2235</v>
      </c>
    </row>
    <row r="52" spans="1:11" ht="14">
      <c r="A52" s="14"/>
      <c r="B52" s="16" t="s">
        <v>115</v>
      </c>
      <c r="C52" s="16" t="s">
        <v>107</v>
      </c>
      <c r="D52" s="19">
        <v>0.5</v>
      </c>
      <c r="E52" s="19">
        <v>4</v>
      </c>
      <c r="F52" s="19">
        <v>0.5</v>
      </c>
      <c r="G52" s="19">
        <v>0.5</v>
      </c>
      <c r="H52" s="19">
        <v>512</v>
      </c>
      <c r="I52" s="19">
        <v>2.4</v>
      </c>
      <c r="J52" s="19">
        <v>0.59</v>
      </c>
      <c r="K52" s="19">
        <v>1163</v>
      </c>
    </row>
    <row r="53" spans="1:11" ht="14">
      <c r="A53" s="14"/>
      <c r="B53" s="16" t="s">
        <v>115</v>
      </c>
      <c r="C53" s="16" t="s">
        <v>107</v>
      </c>
      <c r="D53" s="19">
        <v>0.5</v>
      </c>
      <c r="E53" s="19">
        <v>4</v>
      </c>
      <c r="F53" s="19">
        <v>0.5</v>
      </c>
      <c r="G53" s="19">
        <v>2.5000000000000001E-2</v>
      </c>
      <c r="H53" s="19">
        <v>627</v>
      </c>
      <c r="I53" s="19">
        <v>9.5</v>
      </c>
      <c r="J53" s="19">
        <v>0.1</v>
      </c>
      <c r="K53" s="19">
        <v>171</v>
      </c>
    </row>
    <row r="54" spans="1:11" ht="14">
      <c r="A54" s="14"/>
      <c r="B54" s="16" t="s">
        <v>115</v>
      </c>
      <c r="C54" s="16" t="s">
        <v>108</v>
      </c>
      <c r="D54" s="19">
        <v>0.5</v>
      </c>
      <c r="E54" s="19">
        <v>4</v>
      </c>
      <c r="F54" s="19">
        <v>0.5</v>
      </c>
      <c r="G54" s="19">
        <v>0.5</v>
      </c>
      <c r="H54" s="19">
        <v>1107</v>
      </c>
      <c r="I54" s="19">
        <v>3.8</v>
      </c>
      <c r="J54" s="19">
        <v>0.96</v>
      </c>
      <c r="K54" s="19">
        <v>882</v>
      </c>
    </row>
    <row r="55" spans="1:11" ht="14">
      <c r="A55" s="14"/>
      <c r="B55" s="16" t="s">
        <v>115</v>
      </c>
      <c r="C55" s="16" t="s">
        <v>108</v>
      </c>
      <c r="D55" s="19">
        <v>0.5</v>
      </c>
      <c r="E55" s="19">
        <v>4</v>
      </c>
      <c r="F55" s="19">
        <v>0.5</v>
      </c>
      <c r="G55" s="19">
        <v>2.5000000000000001E-2</v>
      </c>
      <c r="H55" s="19">
        <v>1845</v>
      </c>
      <c r="I55" s="19">
        <v>37</v>
      </c>
      <c r="J55" s="19">
        <v>0.41</v>
      </c>
      <c r="K55" s="19">
        <v>229</v>
      </c>
    </row>
    <row r="56" spans="1:11" ht="14">
      <c r="A56" s="14"/>
      <c r="B56" s="16" t="s">
        <v>115</v>
      </c>
      <c r="C56" s="16" t="s">
        <v>109</v>
      </c>
      <c r="D56" s="19">
        <v>0.125</v>
      </c>
      <c r="E56" s="14"/>
      <c r="F56" s="19">
        <v>0.5</v>
      </c>
      <c r="G56" s="14"/>
      <c r="H56" s="19">
        <v>2063</v>
      </c>
      <c r="I56" s="19">
        <v>5.8</v>
      </c>
      <c r="J56" s="19">
        <v>0.09</v>
      </c>
      <c r="K56" s="14"/>
    </row>
    <row r="57" spans="1:11" ht="14">
      <c r="A57" s="14"/>
      <c r="B57" s="16" t="s">
        <v>115</v>
      </c>
      <c r="C57" s="16" t="s">
        <v>109</v>
      </c>
      <c r="D57" s="19">
        <v>0.5</v>
      </c>
      <c r="E57" s="14"/>
      <c r="F57" s="19">
        <v>2</v>
      </c>
      <c r="G57" s="14"/>
      <c r="H57" s="19">
        <v>442</v>
      </c>
      <c r="I57" s="19">
        <v>3.8</v>
      </c>
      <c r="J57" s="19">
        <v>0.97</v>
      </c>
      <c r="K57" s="14"/>
    </row>
    <row r="58" spans="1:11" ht="14">
      <c r="A58" s="14"/>
      <c r="B58" s="16" t="s">
        <v>115</v>
      </c>
      <c r="C58" s="16" t="s">
        <v>109</v>
      </c>
      <c r="D58" s="19">
        <v>1</v>
      </c>
      <c r="E58" s="14"/>
      <c r="F58" s="19">
        <v>2</v>
      </c>
      <c r="G58" s="14"/>
      <c r="H58" s="19">
        <v>246</v>
      </c>
      <c r="I58" s="19">
        <v>3.7</v>
      </c>
      <c r="J58" s="19">
        <v>0.95</v>
      </c>
      <c r="K58" s="14"/>
    </row>
    <row r="59" spans="1:11" ht="14">
      <c r="A59" s="14"/>
      <c r="B59" s="16" t="s">
        <v>115</v>
      </c>
      <c r="C59" s="16" t="s">
        <v>110</v>
      </c>
      <c r="D59" s="19">
        <v>2.5</v>
      </c>
      <c r="E59" s="19">
        <v>6</v>
      </c>
      <c r="F59" s="19">
        <v>0.04</v>
      </c>
      <c r="G59" s="19">
        <v>2.5</v>
      </c>
      <c r="H59" s="19">
        <v>320</v>
      </c>
      <c r="I59" s="19">
        <v>9.8000000000000007</v>
      </c>
      <c r="J59" s="19">
        <v>0.98</v>
      </c>
      <c r="K59" s="19">
        <v>3110</v>
      </c>
    </row>
    <row r="60" spans="1:11" ht="14">
      <c r="A60" s="14"/>
      <c r="B60" s="16" t="s">
        <v>116</v>
      </c>
      <c r="C60" s="16" t="s">
        <v>107</v>
      </c>
      <c r="D60" s="19">
        <v>0.5</v>
      </c>
      <c r="E60" s="19">
        <v>3</v>
      </c>
      <c r="F60" s="19">
        <v>0.5</v>
      </c>
      <c r="G60" s="19">
        <v>0.5</v>
      </c>
      <c r="H60" s="19">
        <v>3455</v>
      </c>
      <c r="I60" s="19">
        <v>74</v>
      </c>
      <c r="J60" s="19">
        <v>0.98</v>
      </c>
      <c r="K60" s="19">
        <v>288</v>
      </c>
    </row>
    <row r="61" spans="1:11" ht="14">
      <c r="A61" s="14"/>
      <c r="B61" s="16" t="s">
        <v>116</v>
      </c>
      <c r="C61" s="16" t="s">
        <v>107</v>
      </c>
      <c r="D61" s="19">
        <v>0.5</v>
      </c>
      <c r="E61" s="19">
        <v>3</v>
      </c>
      <c r="F61" s="19">
        <v>0.5</v>
      </c>
      <c r="G61" s="19">
        <v>2.5000000000000001E-2</v>
      </c>
      <c r="H61" s="19">
        <v>4700</v>
      </c>
      <c r="I61" s="19">
        <v>250</v>
      </c>
      <c r="J61" s="19">
        <v>0.15</v>
      </c>
      <c r="K61" s="19">
        <v>32</v>
      </c>
    </row>
    <row r="62" spans="1:11" ht="14">
      <c r="A62" s="14"/>
      <c r="B62" s="16" t="s">
        <v>116</v>
      </c>
      <c r="C62" s="16" t="s">
        <v>108</v>
      </c>
      <c r="D62" s="19">
        <v>0.5</v>
      </c>
      <c r="E62" s="19">
        <v>3</v>
      </c>
      <c r="F62" s="19">
        <v>0.5</v>
      </c>
      <c r="G62" s="19">
        <v>0.5</v>
      </c>
      <c r="H62" s="19">
        <v>3455</v>
      </c>
      <c r="I62" s="19">
        <v>71</v>
      </c>
      <c r="J62" s="19">
        <v>0.95</v>
      </c>
      <c r="K62" s="19">
        <v>278</v>
      </c>
    </row>
    <row r="63" spans="1:11" ht="14">
      <c r="A63" s="14"/>
      <c r="B63" s="16" t="s">
        <v>116</v>
      </c>
      <c r="C63" s="16" t="s">
        <v>108</v>
      </c>
      <c r="D63" s="19">
        <v>0.5</v>
      </c>
      <c r="E63" s="19">
        <v>3</v>
      </c>
      <c r="F63" s="19">
        <v>0.5</v>
      </c>
      <c r="G63" s="19">
        <v>2.5000000000000001E-2</v>
      </c>
      <c r="H63" s="19">
        <v>4700</v>
      </c>
      <c r="I63" s="19">
        <v>250</v>
      </c>
      <c r="J63" s="19">
        <v>0.15</v>
      </c>
      <c r="K63" s="19">
        <v>32</v>
      </c>
    </row>
    <row r="64" spans="1:11" ht="14">
      <c r="A64" s="14"/>
      <c r="B64" s="16" t="s">
        <v>116</v>
      </c>
      <c r="C64" s="16" t="s">
        <v>109</v>
      </c>
      <c r="D64" s="19">
        <v>0.125</v>
      </c>
      <c r="E64" s="14"/>
      <c r="F64" s="19">
        <v>0.5</v>
      </c>
      <c r="G64" s="14"/>
      <c r="H64" s="19">
        <v>4700</v>
      </c>
      <c r="I64" s="19">
        <v>69</v>
      </c>
      <c r="J64" s="19">
        <v>0.06</v>
      </c>
      <c r="K64" s="14"/>
    </row>
    <row r="65" spans="1:11" ht="14">
      <c r="A65" s="14"/>
      <c r="B65" s="16" t="s">
        <v>116</v>
      </c>
      <c r="C65" s="16" t="s">
        <v>109</v>
      </c>
      <c r="D65" s="19">
        <v>0.5</v>
      </c>
      <c r="E65" s="14"/>
      <c r="F65" s="19">
        <v>2</v>
      </c>
      <c r="G65" s="14"/>
      <c r="H65" s="19">
        <v>1754</v>
      </c>
      <c r="I65" s="19">
        <v>70</v>
      </c>
      <c r="J65" s="19">
        <v>0.97</v>
      </c>
      <c r="K65" s="14"/>
    </row>
    <row r="66" spans="1:11" ht="14">
      <c r="A66" s="14"/>
      <c r="B66" s="16" t="s">
        <v>116</v>
      </c>
      <c r="C66" s="16" t="s">
        <v>109</v>
      </c>
      <c r="D66" s="19">
        <v>1</v>
      </c>
      <c r="E66" s="14"/>
      <c r="F66" s="19">
        <v>2</v>
      </c>
      <c r="G66" s="14"/>
      <c r="H66" s="19">
        <v>974</v>
      </c>
      <c r="I66" s="19">
        <v>70</v>
      </c>
      <c r="J66" s="19">
        <v>0.96</v>
      </c>
      <c r="K66" s="14"/>
    </row>
    <row r="67" spans="1:11" ht="14">
      <c r="A67" s="14"/>
      <c r="B67" s="16" t="s">
        <v>116</v>
      </c>
      <c r="C67" s="16" t="s">
        <v>110</v>
      </c>
      <c r="D67" s="19">
        <v>2.5</v>
      </c>
      <c r="E67" s="19">
        <v>6</v>
      </c>
      <c r="F67" s="19">
        <v>0.04</v>
      </c>
      <c r="G67" s="19">
        <v>3</v>
      </c>
      <c r="H67" s="19">
        <v>2894</v>
      </c>
      <c r="I67" s="19">
        <v>250</v>
      </c>
      <c r="J67" s="19">
        <v>0.24</v>
      </c>
      <c r="K67" s="19">
        <v>83</v>
      </c>
    </row>
  </sheetData>
  <pageMargins left="0.7" right="0.7" top="0.75" bottom="0.75" header="0.3" footer="0.3"/>
  <pageSetup orientation="portrait" horizontalDpi="0" verticalDpi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J1000"/>
  <sheetViews>
    <sheetView workbookViewId="0"/>
  </sheetViews>
  <sheetFormatPr baseColWidth="10" defaultColWidth="14.3984375" defaultRowHeight="15.75" customHeight="1"/>
  <cols>
    <col min="1" max="1" width="8" customWidth="1"/>
    <col min="2" max="2" width="24.796875" customWidth="1"/>
    <col min="3" max="26" width="8" customWidth="1"/>
  </cols>
  <sheetData>
    <row r="1" spans="2:10" ht="14.25" customHeight="1"/>
    <row r="2" spans="2:10" ht="18" customHeight="1">
      <c r="B2" s="43" t="s">
        <v>117</v>
      </c>
      <c r="C2" s="44"/>
      <c r="D2" s="44"/>
      <c r="E2" s="44"/>
    </row>
    <row r="3" spans="2:10" ht="14.25" customHeight="1">
      <c r="B3" s="45" t="s">
        <v>118</v>
      </c>
      <c r="C3" s="44"/>
      <c r="D3" s="44"/>
      <c r="E3" s="44"/>
      <c r="F3" s="44"/>
    </row>
    <row r="4" spans="2:10" ht="14.25" customHeight="1">
      <c r="B4" s="46" t="s">
        <v>119</v>
      </c>
      <c r="C4" s="44"/>
      <c r="D4" s="44"/>
      <c r="E4" s="44"/>
      <c r="F4" s="44"/>
    </row>
    <row r="5" spans="2:10" ht="14.25" customHeight="1"/>
    <row r="6" spans="2:10" ht="18" customHeight="1">
      <c r="B6" s="20" t="s">
        <v>120</v>
      </c>
    </row>
    <row r="7" spans="2:10" ht="14.25" customHeight="1"/>
    <row r="8" spans="2:10" ht="14.25" customHeight="1">
      <c r="B8" s="21" t="s">
        <v>121</v>
      </c>
      <c r="C8" s="22">
        <v>150</v>
      </c>
      <c r="D8" s="21" t="s">
        <v>122</v>
      </c>
      <c r="E8" s="21"/>
      <c r="F8" s="21"/>
      <c r="G8" s="21"/>
      <c r="H8" s="21"/>
      <c r="I8" s="21"/>
      <c r="J8" s="21"/>
    </row>
    <row r="9" spans="2:10" ht="14.25" customHeight="1">
      <c r="B9" s="21" t="s">
        <v>123</v>
      </c>
      <c r="C9" s="22">
        <v>500</v>
      </c>
      <c r="D9" s="21" t="s">
        <v>122</v>
      </c>
      <c r="E9" s="21"/>
      <c r="F9" s="21"/>
      <c r="G9" s="21"/>
      <c r="H9" s="21"/>
      <c r="I9" s="21"/>
      <c r="J9" s="21"/>
    </row>
    <row r="10" spans="2:10" ht="14.25" customHeight="1">
      <c r="B10" s="21" t="s">
        <v>124</v>
      </c>
      <c r="C10" s="22">
        <v>0.2</v>
      </c>
      <c r="D10" s="21"/>
      <c r="E10" s="21" t="s">
        <v>125</v>
      </c>
      <c r="F10" s="21"/>
      <c r="G10" s="21"/>
      <c r="H10" s="21"/>
      <c r="I10" s="21"/>
      <c r="J10" s="21"/>
    </row>
    <row r="11" spans="2:10" ht="14.25" customHeight="1">
      <c r="B11" s="21"/>
      <c r="C11" s="22"/>
      <c r="D11" s="21"/>
      <c r="E11" s="21" t="s">
        <v>126</v>
      </c>
      <c r="F11" s="21"/>
      <c r="G11" s="21"/>
      <c r="H11" s="21"/>
      <c r="I11" s="21"/>
      <c r="J11" s="21"/>
    </row>
    <row r="12" spans="2:10" ht="14.25" customHeight="1">
      <c r="B12" s="21" t="s">
        <v>127</v>
      </c>
      <c r="C12" s="23">
        <f>6853/16</f>
        <v>428.3125</v>
      </c>
      <c r="D12" s="21" t="s">
        <v>122</v>
      </c>
      <c r="E12" s="21" t="s">
        <v>128</v>
      </c>
      <c r="F12" s="21"/>
      <c r="G12" s="21"/>
      <c r="H12" s="21"/>
      <c r="I12" s="21"/>
      <c r="J12" s="21"/>
    </row>
    <row r="13" spans="2:10" ht="14.25" customHeight="1">
      <c r="B13" s="21" t="s">
        <v>129</v>
      </c>
      <c r="C13" s="22">
        <v>500</v>
      </c>
      <c r="D13" s="21" t="s">
        <v>130</v>
      </c>
      <c r="E13" s="21" t="s">
        <v>131</v>
      </c>
      <c r="F13" s="21"/>
      <c r="G13" s="21"/>
      <c r="H13" s="21"/>
      <c r="I13" s="21"/>
      <c r="J13" s="21"/>
    </row>
    <row r="14" spans="2:10" ht="14.25" customHeight="1">
      <c r="B14" s="21" t="s">
        <v>132</v>
      </c>
      <c r="C14" s="22">
        <v>200</v>
      </c>
      <c r="D14" s="21" t="s">
        <v>130</v>
      </c>
      <c r="E14" s="21"/>
      <c r="F14" s="21"/>
      <c r="G14" s="21"/>
      <c r="H14" s="21"/>
      <c r="I14" s="21"/>
      <c r="J14" s="21"/>
    </row>
    <row r="15" spans="2:10" ht="14.25" customHeight="1">
      <c r="C15" s="22"/>
      <c r="D15" s="21"/>
      <c r="E15" s="21"/>
      <c r="F15" s="21"/>
      <c r="G15" s="21"/>
      <c r="H15" s="21"/>
      <c r="I15" s="21"/>
      <c r="J15" s="21"/>
    </row>
    <row r="16" spans="2:10" ht="18" customHeight="1">
      <c r="B16" s="20" t="s">
        <v>133</v>
      </c>
      <c r="C16" s="22"/>
      <c r="D16" s="21"/>
      <c r="E16" s="21"/>
      <c r="F16" s="21"/>
      <c r="G16" s="21"/>
      <c r="H16" s="21"/>
      <c r="I16" s="21"/>
      <c r="J16" s="21"/>
    </row>
    <row r="17" spans="2:10" ht="14.25" customHeight="1">
      <c r="C17" s="22"/>
      <c r="D17" s="21"/>
      <c r="E17" s="21"/>
      <c r="F17" s="21"/>
      <c r="G17" s="21"/>
      <c r="H17" s="21"/>
      <c r="I17" s="21"/>
      <c r="J17" s="21"/>
    </row>
    <row r="18" spans="2:10" ht="14.25" customHeight="1">
      <c r="B18" s="21" t="s">
        <v>134</v>
      </c>
      <c r="C18" s="22">
        <v>0.5</v>
      </c>
      <c r="D18" s="21" t="s">
        <v>135</v>
      </c>
      <c r="E18" s="21" t="s">
        <v>136</v>
      </c>
      <c r="F18" s="21"/>
      <c r="G18" s="21"/>
      <c r="H18" s="21"/>
      <c r="I18" s="21"/>
      <c r="J18" s="21"/>
    </row>
    <row r="19" spans="2:10" ht="14.25" customHeight="1">
      <c r="B19" s="21" t="s">
        <v>137</v>
      </c>
      <c r="C19" s="22">
        <v>3</v>
      </c>
      <c r="D19" s="21"/>
      <c r="E19" s="21" t="s">
        <v>138</v>
      </c>
      <c r="F19" s="21"/>
      <c r="G19" s="21"/>
      <c r="H19" s="21"/>
      <c r="I19" s="21"/>
      <c r="J19" s="21"/>
    </row>
    <row r="20" spans="2:10" ht="14.25" customHeight="1">
      <c r="B20" s="21" t="s">
        <v>139</v>
      </c>
      <c r="C20" s="22">
        <v>1.5</v>
      </c>
      <c r="D20" s="21" t="s">
        <v>140</v>
      </c>
      <c r="E20" s="21"/>
      <c r="F20" s="21"/>
      <c r="G20" s="21"/>
      <c r="H20" s="21"/>
      <c r="I20" s="21"/>
      <c r="J20" s="21"/>
    </row>
    <row r="21" spans="2:10" ht="14.25" customHeight="1">
      <c r="B21" s="21" t="s">
        <v>141</v>
      </c>
      <c r="C21" s="22">
        <v>48</v>
      </c>
      <c r="D21" s="21" t="s">
        <v>140</v>
      </c>
      <c r="E21" s="21"/>
      <c r="F21" s="21"/>
      <c r="G21" s="21"/>
      <c r="H21" s="21"/>
      <c r="I21" s="21"/>
      <c r="J21" s="21"/>
    </row>
    <row r="22" spans="2:10" ht="14.25" customHeight="1">
      <c r="B22" s="21" t="s">
        <v>142</v>
      </c>
      <c r="C22" s="24">
        <v>0.9</v>
      </c>
      <c r="D22" s="21"/>
      <c r="E22" s="21" t="s">
        <v>143</v>
      </c>
      <c r="F22" s="21"/>
      <c r="G22" s="21"/>
      <c r="H22" s="21"/>
      <c r="I22" s="21"/>
      <c r="J22" s="21"/>
    </row>
    <row r="23" spans="2:10" ht="14.25" customHeight="1">
      <c r="C23" s="22"/>
      <c r="D23" s="21"/>
      <c r="E23" s="21"/>
      <c r="F23" s="21"/>
      <c r="G23" s="21"/>
      <c r="H23" s="21"/>
      <c r="I23" s="21"/>
      <c r="J23" s="21"/>
    </row>
    <row r="24" spans="2:10" ht="18" customHeight="1">
      <c r="B24" s="20" t="s">
        <v>144</v>
      </c>
      <c r="C24" s="22"/>
      <c r="D24" s="21"/>
      <c r="E24" s="21"/>
      <c r="F24" s="21"/>
      <c r="G24" s="21"/>
      <c r="H24" s="21"/>
      <c r="I24" s="21"/>
      <c r="J24" s="21"/>
    </row>
    <row r="25" spans="2:10" ht="14.25" customHeight="1">
      <c r="C25" s="22"/>
      <c r="D25" s="21"/>
      <c r="E25" s="21"/>
      <c r="F25" s="21"/>
      <c r="G25" s="21"/>
      <c r="H25" s="21"/>
      <c r="I25" s="21"/>
      <c r="J25" s="21"/>
    </row>
    <row r="26" spans="2:10" ht="14.25" customHeight="1">
      <c r="B26" s="21" t="s">
        <v>145</v>
      </c>
      <c r="C26" s="22">
        <v>200</v>
      </c>
      <c r="D26" s="21" t="s">
        <v>146</v>
      </c>
      <c r="E26" s="21"/>
      <c r="F26" s="21"/>
      <c r="G26" s="21"/>
      <c r="H26" s="21"/>
      <c r="I26" s="21"/>
      <c r="J26" s="21"/>
    </row>
    <row r="27" spans="2:10" ht="14.25" customHeight="1">
      <c r="B27" s="21" t="s">
        <v>147</v>
      </c>
      <c r="C27" s="22">
        <v>4000</v>
      </c>
      <c r="D27" s="21" t="s">
        <v>148</v>
      </c>
      <c r="E27" s="21" t="s">
        <v>149</v>
      </c>
      <c r="F27" s="21"/>
      <c r="G27" s="21"/>
      <c r="H27" s="21"/>
      <c r="I27" s="21"/>
      <c r="J27" s="21"/>
    </row>
    <row r="28" spans="2:10" ht="14.25" customHeight="1">
      <c r="B28" s="21" t="s">
        <v>150</v>
      </c>
      <c r="C28" s="22">
        <v>800</v>
      </c>
      <c r="D28" s="21" t="s">
        <v>151</v>
      </c>
      <c r="E28" s="21"/>
      <c r="F28" s="21"/>
      <c r="G28" s="21"/>
      <c r="H28" s="21"/>
      <c r="I28" s="21"/>
      <c r="J28" s="21"/>
    </row>
    <row r="29" spans="2:10" ht="14.25" customHeight="1">
      <c r="B29" s="21"/>
      <c r="C29" s="25">
        <f>C28/192.000000123</f>
        <v>4.1666666639973959</v>
      </c>
      <c r="D29" s="21" t="s">
        <v>152</v>
      </c>
      <c r="E29" s="21"/>
      <c r="F29" s="21"/>
      <c r="G29" s="21"/>
      <c r="H29" s="21"/>
      <c r="I29" s="21"/>
      <c r="J29" s="21"/>
    </row>
    <row r="30" spans="2:10" ht="18" customHeight="1">
      <c r="B30" s="20" t="s">
        <v>153</v>
      </c>
      <c r="D30" s="21"/>
      <c r="E30" s="21"/>
      <c r="F30" s="21"/>
      <c r="G30" s="21"/>
      <c r="H30" s="21"/>
      <c r="I30" s="21"/>
      <c r="J30" s="21"/>
    </row>
    <row r="31" spans="2:10" ht="14.25" customHeight="1">
      <c r="D31" s="21"/>
      <c r="E31" s="21"/>
      <c r="F31" s="21"/>
      <c r="G31" s="21"/>
      <c r="H31" s="21"/>
      <c r="I31" s="21"/>
      <c r="J31" s="21"/>
    </row>
    <row r="32" spans="2:10" ht="14.25" customHeight="1">
      <c r="B32" s="21" t="s">
        <v>154</v>
      </c>
      <c r="C32" s="2">
        <v>24</v>
      </c>
      <c r="D32" s="21" t="s">
        <v>140</v>
      </c>
      <c r="E32" s="21"/>
      <c r="F32" s="21"/>
      <c r="G32" s="21"/>
      <c r="H32" s="21"/>
      <c r="I32" s="21"/>
      <c r="J32" s="21"/>
    </row>
    <row r="33" spans="2:10" ht="14.25" customHeight="1">
      <c r="B33" s="21" t="s">
        <v>155</v>
      </c>
      <c r="C33" s="21">
        <f>C13</f>
        <v>500</v>
      </c>
      <c r="D33" s="21" t="s">
        <v>156</v>
      </c>
      <c r="E33" s="21"/>
      <c r="F33" s="21"/>
      <c r="G33" s="21"/>
      <c r="H33" s="21"/>
      <c r="I33" s="21"/>
      <c r="J33" s="21"/>
    </row>
    <row r="34" spans="2:10" ht="14.25" customHeight="1">
      <c r="B34" s="21" t="s">
        <v>157</v>
      </c>
      <c r="C34" s="21">
        <f>(C32/C33)*60</f>
        <v>2.88</v>
      </c>
      <c r="D34" s="21" t="s">
        <v>158</v>
      </c>
      <c r="E34" s="21"/>
      <c r="F34" s="21"/>
      <c r="G34" s="21"/>
      <c r="H34" s="21"/>
      <c r="I34" s="21"/>
      <c r="J34" s="21"/>
    </row>
    <row r="35" spans="2:10" ht="14.25" customHeight="1">
      <c r="B35" s="21" t="s">
        <v>159</v>
      </c>
      <c r="C35" s="21">
        <f>0.25*C34</f>
        <v>0.72</v>
      </c>
      <c r="D35" s="21" t="s">
        <v>160</v>
      </c>
      <c r="E35" s="21"/>
      <c r="F35" s="21"/>
      <c r="G35" s="21"/>
      <c r="H35" s="21"/>
      <c r="I35" s="21"/>
      <c r="J35" s="21"/>
    </row>
    <row r="36" spans="2:10" ht="14.25" customHeight="1">
      <c r="B36" s="21" t="s">
        <v>161</v>
      </c>
      <c r="C36" s="21">
        <f>(2*C32)/(C35*C35)</f>
        <v>92.592592592592595</v>
      </c>
      <c r="D36" s="21" t="s">
        <v>162</v>
      </c>
      <c r="E36" s="21"/>
      <c r="F36" s="21"/>
      <c r="G36" s="21"/>
      <c r="H36" s="21"/>
      <c r="I36" s="21"/>
      <c r="J36" s="21"/>
    </row>
    <row r="37" spans="2:10" ht="14.25" customHeight="1">
      <c r="B37" s="21" t="s">
        <v>163</v>
      </c>
      <c r="C37" s="21">
        <f>32.17*12</f>
        <v>386.04</v>
      </c>
      <c r="D37" s="21" t="s">
        <v>162</v>
      </c>
      <c r="E37" s="21"/>
      <c r="F37" s="21"/>
      <c r="G37" s="21"/>
      <c r="H37" s="21"/>
      <c r="I37" s="21"/>
      <c r="J37" s="21"/>
    </row>
    <row r="38" spans="2:10" ht="14.25" customHeight="1">
      <c r="B38" s="21" t="s">
        <v>161</v>
      </c>
      <c r="C38" s="21">
        <f>C36/C37</f>
        <v>0.23985232771887005</v>
      </c>
      <c r="D38" s="21" t="s">
        <v>164</v>
      </c>
      <c r="E38" s="21"/>
      <c r="F38" s="21"/>
      <c r="G38" s="21"/>
      <c r="H38" s="21"/>
      <c r="I38" s="21"/>
      <c r="J38" s="21"/>
    </row>
    <row r="39" spans="2:10" ht="14.25" customHeight="1">
      <c r="D39" s="21"/>
      <c r="E39" s="21"/>
      <c r="F39" s="21"/>
      <c r="G39" s="21"/>
      <c r="H39" s="21"/>
      <c r="I39" s="21"/>
      <c r="J39" s="21"/>
    </row>
    <row r="40" spans="2:10" ht="18" customHeight="1">
      <c r="B40" s="20" t="s">
        <v>165</v>
      </c>
      <c r="D40" s="21"/>
      <c r="E40" s="21"/>
      <c r="F40" s="21"/>
      <c r="G40" s="21"/>
      <c r="H40" s="21"/>
      <c r="I40" s="21"/>
      <c r="J40" s="21"/>
    </row>
    <row r="41" spans="2:10" ht="14.25" customHeight="1">
      <c r="D41" s="21"/>
      <c r="E41" s="21"/>
      <c r="F41" s="21"/>
      <c r="G41" s="21"/>
      <c r="H41" s="21"/>
      <c r="I41" s="21"/>
      <c r="J41" s="21"/>
    </row>
    <row r="42" spans="2:10" ht="14.25" customHeight="1">
      <c r="B42" s="21" t="s">
        <v>166</v>
      </c>
      <c r="C42" s="21">
        <f>(C8+C9)*(C18*C18)</f>
        <v>162.5</v>
      </c>
      <c r="D42" s="21" t="s">
        <v>167</v>
      </c>
      <c r="E42" s="21"/>
      <c r="F42" s="21"/>
      <c r="G42" s="21"/>
      <c r="H42" s="21"/>
      <c r="I42" s="21"/>
      <c r="J42" s="21"/>
    </row>
    <row r="43" spans="2:10" ht="14.25" customHeight="1">
      <c r="C43" s="21">
        <f>182900*C22</f>
        <v>164610</v>
      </c>
      <c r="D43" s="21" t="s">
        <v>168</v>
      </c>
      <c r="E43" s="21"/>
      <c r="F43" s="21"/>
      <c r="G43" s="21"/>
      <c r="H43" s="21"/>
      <c r="I43" s="21"/>
      <c r="J43" s="21"/>
    </row>
    <row r="44" spans="2:10" ht="14.25" customHeight="1">
      <c r="C44" s="21">
        <f>C42/C43</f>
        <v>9.8718182370451362E-4</v>
      </c>
      <c r="D44" s="21" t="s">
        <v>169</v>
      </c>
      <c r="E44" s="21"/>
      <c r="F44" s="21"/>
      <c r="G44" s="21"/>
      <c r="H44" s="21"/>
      <c r="I44" s="21"/>
      <c r="J44" s="21"/>
    </row>
    <row r="45" spans="2:10" ht="14.25" customHeight="1">
      <c r="D45" s="21"/>
      <c r="E45" s="21"/>
      <c r="F45" s="21"/>
      <c r="G45" s="21"/>
      <c r="H45" s="21"/>
      <c r="I45" s="21"/>
      <c r="J45" s="21"/>
    </row>
    <row r="46" spans="2:10" ht="14.25" customHeight="1">
      <c r="B46" s="21" t="s">
        <v>170</v>
      </c>
      <c r="C46" s="21">
        <f>POWER(C20/2,4)*C21*0.284</f>
        <v>4.31325</v>
      </c>
      <c r="D46" s="21" t="s">
        <v>167</v>
      </c>
      <c r="E46" s="21"/>
      <c r="F46" s="21"/>
      <c r="G46" s="21"/>
      <c r="H46" s="21"/>
      <c r="I46" s="21"/>
      <c r="J46" s="21"/>
    </row>
    <row r="47" spans="2:10" ht="14.25" customHeight="1">
      <c r="C47" s="21">
        <v>2952</v>
      </c>
      <c r="D47" s="21" t="s">
        <v>168</v>
      </c>
      <c r="E47" s="21"/>
      <c r="F47" s="21"/>
      <c r="G47" s="21"/>
      <c r="H47" s="21"/>
      <c r="I47" s="21"/>
      <c r="J47" s="21"/>
    </row>
    <row r="48" spans="2:10" ht="14.25" customHeight="1">
      <c r="C48" s="21">
        <f>C46/C47</f>
        <v>1.4611280487804878E-3</v>
      </c>
      <c r="D48" s="21" t="s">
        <v>169</v>
      </c>
      <c r="E48" s="21"/>
      <c r="F48" s="21"/>
      <c r="G48" s="21"/>
      <c r="H48" s="21"/>
      <c r="I48" s="21"/>
      <c r="J48" s="21"/>
    </row>
    <row r="49" spans="2:10" ht="14.25" customHeight="1">
      <c r="D49" s="21"/>
      <c r="E49" s="21"/>
      <c r="F49" s="21"/>
      <c r="G49" s="21"/>
      <c r="H49" s="21"/>
      <c r="I49" s="21"/>
      <c r="J49" s="21"/>
    </row>
    <row r="50" spans="2:10" ht="18" customHeight="1">
      <c r="B50" s="20" t="s">
        <v>171</v>
      </c>
      <c r="D50" s="21"/>
      <c r="E50" s="21"/>
      <c r="F50" s="21"/>
      <c r="G50" s="21"/>
      <c r="H50" s="21"/>
      <c r="I50" s="21"/>
      <c r="J50" s="21"/>
    </row>
    <row r="51" spans="2:10" ht="14.25" customHeight="1">
      <c r="D51" s="21"/>
      <c r="E51" s="21"/>
      <c r="F51" s="21"/>
      <c r="G51" s="21"/>
      <c r="H51" s="21"/>
      <c r="I51" s="21"/>
      <c r="J51" s="21"/>
    </row>
    <row r="52" spans="2:10" ht="14.25" customHeight="1">
      <c r="B52" s="21" t="s">
        <v>172</v>
      </c>
      <c r="C52" s="21">
        <f>(C12*C18)/(75.4*C22)</f>
        <v>3.1558539640436187</v>
      </c>
      <c r="D52" s="21" t="s">
        <v>152</v>
      </c>
      <c r="E52" s="21"/>
      <c r="F52" s="21"/>
      <c r="G52" s="21"/>
      <c r="H52" s="21"/>
      <c r="I52" s="21"/>
      <c r="J52" s="21"/>
    </row>
    <row r="53" spans="2:10" ht="14.25" customHeight="1">
      <c r="D53" s="21"/>
      <c r="E53" s="21"/>
      <c r="F53" s="21"/>
      <c r="G53" s="21"/>
      <c r="H53" s="21"/>
      <c r="I53" s="21"/>
      <c r="J53" s="21"/>
    </row>
    <row r="54" spans="2:10" ht="14.25" customHeight="1">
      <c r="B54" s="21" t="s">
        <v>173</v>
      </c>
      <c r="C54" s="21">
        <f>(C10*(C8+C9)*C18)/(75.4*C22)</f>
        <v>0.95785440613026795</v>
      </c>
      <c r="D54" s="21" t="s">
        <v>152</v>
      </c>
      <c r="E54" s="21"/>
      <c r="F54" s="21"/>
      <c r="G54" s="21"/>
      <c r="H54" s="21"/>
      <c r="I54" s="21"/>
      <c r="J54" s="21"/>
    </row>
    <row r="55" spans="2:10" ht="14.25" customHeight="1">
      <c r="D55" s="21"/>
      <c r="E55" s="21"/>
      <c r="F55" s="21"/>
      <c r="G55" s="21"/>
      <c r="H55" s="21"/>
      <c r="I55" s="21"/>
      <c r="J55" s="21"/>
    </row>
    <row r="56" spans="2:10" ht="14.25" customHeight="1">
      <c r="B56" s="21" t="s">
        <v>174</v>
      </c>
      <c r="C56" s="21">
        <f>C52+C54</f>
        <v>4.113708370173887</v>
      </c>
      <c r="D56" s="21" t="s">
        <v>152</v>
      </c>
      <c r="E56" s="21"/>
      <c r="F56" s="21"/>
      <c r="G56" s="21"/>
      <c r="H56" s="21"/>
      <c r="I56" s="21"/>
      <c r="J56" s="21"/>
    </row>
    <row r="57" spans="2:10" ht="14.25" customHeight="1">
      <c r="D57" s="21"/>
      <c r="E57" s="21"/>
      <c r="F57" s="21"/>
      <c r="G57" s="21"/>
      <c r="H57" s="21"/>
      <c r="I57" s="21"/>
      <c r="J57" s="21"/>
    </row>
    <row r="58" spans="2:10" ht="18" customHeight="1">
      <c r="B58" s="20" t="s">
        <v>175</v>
      </c>
      <c r="D58" s="21"/>
      <c r="E58" s="21"/>
      <c r="F58" s="21"/>
      <c r="G58" s="21"/>
      <c r="H58" s="21"/>
      <c r="I58" s="21"/>
      <c r="J58" s="21"/>
    </row>
    <row r="59" spans="2:10" ht="14.25" customHeight="1">
      <c r="D59" s="21"/>
      <c r="E59" s="21"/>
      <c r="F59" s="21"/>
      <c r="G59" s="21"/>
      <c r="H59" s="21"/>
      <c r="I59" s="21"/>
      <c r="J59" s="21"/>
    </row>
    <row r="60" spans="2:10" ht="14.25" customHeight="1">
      <c r="B60" s="21" t="s">
        <v>176</v>
      </c>
      <c r="C60" s="21">
        <f>C13/C18</f>
        <v>1000</v>
      </c>
      <c r="D60" s="21" t="s">
        <v>95</v>
      </c>
      <c r="E60" s="21"/>
      <c r="F60" s="21"/>
      <c r="G60" s="21"/>
      <c r="H60" s="21"/>
      <c r="I60" s="21"/>
      <c r="J60" s="21"/>
    </row>
    <row r="61" spans="2:10" ht="14.25" customHeight="1">
      <c r="D61" s="21"/>
      <c r="E61" s="21"/>
      <c r="F61" s="21"/>
      <c r="G61" s="21"/>
      <c r="H61" s="21"/>
      <c r="I61" s="21"/>
      <c r="J61" s="21"/>
    </row>
    <row r="62" spans="2:10" ht="14.25" customHeight="1">
      <c r="B62" s="21" t="s">
        <v>177</v>
      </c>
      <c r="C62" s="21">
        <f>C14/C18</f>
        <v>400</v>
      </c>
      <c r="D62" s="21" t="s">
        <v>95</v>
      </c>
      <c r="E62" s="21"/>
      <c r="F62" s="21"/>
      <c r="G62" s="21"/>
      <c r="H62" s="21"/>
      <c r="I62" s="21"/>
      <c r="J62" s="21"/>
    </row>
    <row r="63" spans="2:10" ht="14.25" customHeight="1">
      <c r="D63" s="21"/>
      <c r="E63" s="21"/>
      <c r="F63" s="21"/>
      <c r="G63" s="21"/>
      <c r="H63" s="21"/>
      <c r="I63" s="21"/>
      <c r="J63" s="21"/>
    </row>
    <row r="64" spans="2:10" ht="21" customHeight="1">
      <c r="B64" s="26" t="s">
        <v>171</v>
      </c>
      <c r="D64" s="21"/>
      <c r="E64" s="21"/>
      <c r="F64" s="21"/>
      <c r="G64" s="21"/>
      <c r="H64" s="21"/>
      <c r="I64" s="21"/>
      <c r="J64" s="21"/>
    </row>
    <row r="65" spans="2:10" ht="14.25" customHeight="1">
      <c r="D65" s="21"/>
      <c r="E65" s="21"/>
      <c r="F65" s="21"/>
      <c r="G65" s="21"/>
      <c r="H65" s="21"/>
      <c r="I65" s="21"/>
      <c r="J65" s="21"/>
    </row>
    <row r="66" spans="2:10" ht="14.25" customHeight="1">
      <c r="B66" s="21" t="s">
        <v>178</v>
      </c>
      <c r="C66" s="21">
        <f>C56/(C19*C22)</f>
        <v>1.5235956926569951</v>
      </c>
      <c r="D66" s="21" t="s">
        <v>152</v>
      </c>
      <c r="E66" s="21"/>
      <c r="F66" s="21"/>
      <c r="G66" s="21"/>
      <c r="H66" s="21"/>
      <c r="I66" s="21"/>
      <c r="J66" s="21"/>
    </row>
    <row r="67" spans="2:10" ht="14.25" customHeight="1">
      <c r="D67" s="21"/>
      <c r="E67" s="21"/>
      <c r="F67" s="21"/>
      <c r="G67" s="21"/>
      <c r="H67" s="21"/>
      <c r="I67" s="21"/>
      <c r="J67" s="21"/>
    </row>
    <row r="68" spans="2:10" ht="14.25" customHeight="1">
      <c r="B68" s="21" t="s">
        <v>179</v>
      </c>
      <c r="C68" s="21">
        <f>C60*C19</f>
        <v>3000</v>
      </c>
      <c r="D68" s="21"/>
      <c r="E68" s="21"/>
      <c r="F68" s="21"/>
      <c r="G68" s="21"/>
      <c r="H68" s="21"/>
      <c r="I68" s="21"/>
      <c r="J68" s="21"/>
    </row>
    <row r="69" spans="2:10" ht="14.25" customHeight="1">
      <c r="C69" s="21"/>
      <c r="D69" s="21"/>
      <c r="E69" s="21"/>
      <c r="F69" s="21"/>
      <c r="G69" s="21"/>
      <c r="H69" s="21"/>
      <c r="I69" s="21"/>
      <c r="J69" s="21"/>
    </row>
    <row r="70" spans="2:10" ht="14.25" customHeight="1">
      <c r="B70" s="21" t="s">
        <v>180</v>
      </c>
      <c r="C70" s="21">
        <f>C62*C19</f>
        <v>1200</v>
      </c>
      <c r="D70" s="21"/>
      <c r="E70" s="21"/>
      <c r="F70" s="21"/>
      <c r="G70" s="21"/>
      <c r="H70" s="21"/>
      <c r="I70" s="21"/>
      <c r="J70" s="21"/>
    </row>
    <row r="71" spans="2:10" ht="14.25" customHeight="1">
      <c r="D71" s="21"/>
      <c r="E71" s="21"/>
      <c r="F71" s="21"/>
      <c r="G71" s="21"/>
      <c r="H71" s="21"/>
      <c r="I71" s="21"/>
      <c r="J71" s="21"/>
    </row>
    <row r="72" spans="2:10" ht="21" customHeight="1">
      <c r="B72" s="26" t="s">
        <v>153</v>
      </c>
      <c r="D72" s="21"/>
      <c r="E72" s="21"/>
      <c r="F72" s="21"/>
      <c r="G72" s="21"/>
      <c r="H72" s="21"/>
      <c r="I72" s="21"/>
      <c r="J72" s="21"/>
    </row>
    <row r="73" spans="2:10" ht="14.25" customHeight="1">
      <c r="D73" s="21"/>
      <c r="E73" s="21"/>
      <c r="F73" s="21"/>
      <c r="G73" s="21"/>
      <c r="H73" s="21"/>
      <c r="I73" s="21"/>
      <c r="J73" s="21"/>
    </row>
    <row r="74" spans="2:10" ht="14.25" customHeight="1">
      <c r="B74" s="21" t="s">
        <v>153</v>
      </c>
      <c r="C74" s="25">
        <f>(C29-C54)</f>
        <v>3.2088122578671281</v>
      </c>
      <c r="D74" s="21" t="s">
        <v>167</v>
      </c>
      <c r="E74" s="21"/>
      <c r="F74" s="21"/>
      <c r="G74" s="21"/>
      <c r="H74" s="21"/>
      <c r="I74" s="21"/>
      <c r="J74" s="21"/>
    </row>
    <row r="75" spans="2:10" ht="14.25" customHeight="1">
      <c r="C75" s="21">
        <f>((C44+C48)/((C19*C19)*C22))</f>
        <v>3.0226047808456808E-4</v>
      </c>
      <c r="D75" s="21"/>
      <c r="E75" s="21"/>
      <c r="F75" s="21"/>
      <c r="G75" s="21"/>
      <c r="H75" s="21"/>
      <c r="I75" s="21"/>
      <c r="J75" s="21"/>
    </row>
    <row r="76" spans="2:10" ht="14.25" customHeight="1">
      <c r="C76" s="21">
        <f>C75+0.0005+0.000251</f>
        <v>1.0532604780845681E-3</v>
      </c>
      <c r="D76" s="21" t="s">
        <v>181</v>
      </c>
      <c r="E76" s="21"/>
      <c r="F76" s="21"/>
      <c r="G76" s="21"/>
      <c r="H76" s="21"/>
      <c r="I76" s="21"/>
      <c r="J76" s="21"/>
    </row>
    <row r="77" spans="2:10" ht="14.25" customHeight="1">
      <c r="C77" s="21">
        <f>C74/C76</f>
        <v>3046.551470062363</v>
      </c>
      <c r="D77" s="21" t="s">
        <v>182</v>
      </c>
      <c r="E77" s="21"/>
      <c r="F77" s="21"/>
      <c r="G77" s="21"/>
      <c r="H77" s="21"/>
      <c r="I77" s="21"/>
      <c r="J77" s="21"/>
    </row>
    <row r="78" spans="2:10" ht="14.25" customHeight="1">
      <c r="C78" s="21">
        <f>C18/(2*PI())</f>
        <v>7.9577471545947673E-2</v>
      </c>
      <c r="D78" s="21"/>
      <c r="E78" s="21"/>
      <c r="F78" s="21"/>
      <c r="G78" s="21"/>
      <c r="H78" s="21"/>
      <c r="I78" s="21"/>
      <c r="J78" s="21"/>
    </row>
    <row r="79" spans="2:10" ht="14.25" customHeight="1">
      <c r="C79" s="21">
        <f>(C77*C78)/C19</f>
        <v>80.812287640717585</v>
      </c>
      <c r="D79" s="21" t="s">
        <v>162</v>
      </c>
      <c r="E79" s="21"/>
      <c r="F79" s="21"/>
      <c r="G79" s="21"/>
      <c r="H79" s="21"/>
      <c r="I79" s="21"/>
      <c r="J79" s="21"/>
    </row>
    <row r="80" spans="2:10" ht="14.25" customHeight="1">
      <c r="D80" s="21"/>
      <c r="E80" s="21"/>
      <c r="F80" s="21"/>
      <c r="G80" s="21"/>
      <c r="H80" s="21"/>
      <c r="I80" s="21"/>
      <c r="J80" s="21"/>
    </row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B2:E2"/>
    <mergeCell ref="B3:F3"/>
    <mergeCell ref="B4:F4"/>
  </mergeCells>
  <hyperlinks>
    <hyperlink ref="B3" r:id="rId1" xr:uid="{00000000-0004-0000-0400-000000000000}"/>
  </hyperlinks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</sheetPr>
  <dimension ref="A3:C5"/>
  <sheetViews>
    <sheetView workbookViewId="0">
      <selection activeCell="C5" sqref="C5"/>
    </sheetView>
  </sheetViews>
  <sheetFormatPr baseColWidth="10" defaultColWidth="14.3984375" defaultRowHeight="15.75" customHeight="1"/>
  <cols>
    <col min="1" max="1" width="26.796875" customWidth="1"/>
    <col min="2" max="2" width="22.59765625" customWidth="1"/>
    <col min="3" max="3" width="66" customWidth="1"/>
  </cols>
  <sheetData>
    <row r="3" spans="1:3">
      <c r="A3" s="2" t="s">
        <v>183</v>
      </c>
    </row>
    <row r="4" spans="1:3">
      <c r="B4" s="2" t="s">
        <v>184</v>
      </c>
    </row>
    <row r="5" spans="1:3">
      <c r="B5" s="2" t="s">
        <v>185</v>
      </c>
      <c r="C5" s="6" t="s">
        <v>186</v>
      </c>
    </row>
  </sheetData>
  <hyperlinks>
    <hyperlink ref="C5" r:id="rId1" xr:uid="{00000000-0004-0000-0500-000000000000}"/>
  </hyperlinks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Summary Product List</vt:lpstr>
      <vt:lpstr>Cost Projections</vt:lpstr>
      <vt:lpstr>Clearpath Servos</vt:lpstr>
      <vt:lpstr>Notes</vt:lpstr>
      <vt:lpstr>Build Performance Metrics</vt:lpstr>
      <vt:lpstr>Servo Motor Sizing</vt:lpstr>
      <vt:lpstr>Ballscrews  nuts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Nash</dc:creator>
  <cp:lastModifiedBy>Andrew Nash</cp:lastModifiedBy>
  <cp:lastPrinted>2024-03-22T00:11:21Z</cp:lastPrinted>
  <dcterms:created xsi:type="dcterms:W3CDTF">2024-03-16T19:59:38Z</dcterms:created>
  <dcterms:modified xsi:type="dcterms:W3CDTF">2024-04-21T05:26:25Z</dcterms:modified>
</cp:coreProperties>
</file>